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and\Downloads\archive (60)\"/>
    </mc:Choice>
  </mc:AlternateContent>
  <workbookProtection workbookAlgorithmName="SHA-512" workbookHashValue="u1y1KpgER9OX9PReNlioKbkvIfCiBqhK4dwc+wvYRYAqO/CS4YMqJOXJ7SoeZ6iZB+MvWPMplLSuAdfPubTryA==" workbookSaltValue="ywt0r3APW9MdwCnM30nCmQ==" workbookSpinCount="100000" lockStructure="1"/>
  <bookViews>
    <workbookView xWindow="0" yWindow="0" windowWidth="14145" windowHeight="1380" tabRatio="634"/>
  </bookViews>
  <sheets>
    <sheet name="200M-OMPONG-SARO-E-20-0000156" sheetId="16" r:id="rId1"/>
    <sheet name="ompong-SARO-BMB-E-19-0012554" sheetId="13" r:id="rId2"/>
    <sheet name="ASF-SARO BMB-E-19-0012266" sheetId="15" r:id="rId3"/>
    <sheet name="SARO# BMB-E-16-0019036Lando" sheetId="4" state="hidden" r:id="rId4"/>
    <sheet name="16M_SARO-BMB-E-21-0001862" sheetId="26" r:id="rId5"/>
    <sheet name="ASF-14M_Indemnification" sheetId="19" state="hidden" r:id="rId6"/>
  </sheets>
  <definedNames>
    <definedName name="_xlnm.Print_Area" localSheetId="0">'200M-OMPONG-SARO-E-20-0000156'!$A$1:$N$232</definedName>
    <definedName name="_xlnm.Print_Area" localSheetId="1">'ompong-SARO-BMB-E-19-0012554'!$A$1:$L$45</definedName>
    <definedName name="_xlnm.Print_Area" localSheetId="3">'SARO# BMB-E-16-0019036Lando'!$A$1:$L$63</definedName>
    <definedName name="_xlnm.Print_Titles" localSheetId="0">'200M-OMPONG-SARO-E-20-0000156'!$7:$9</definedName>
    <definedName name="_xlnm.Print_Titles" localSheetId="3">'SARO# BMB-E-16-0019036Lando'!$A:$A,'SARO# BMB-E-16-0019036Lando'!$9:$11</definedName>
  </definedNames>
  <calcPr calcId="162913"/>
</workbook>
</file>

<file path=xl/calcChain.xml><?xml version="1.0" encoding="utf-8"?>
<calcChain xmlns="http://schemas.openxmlformats.org/spreadsheetml/2006/main">
  <c r="M15" i="16" l="1"/>
  <c r="M220" i="16" l="1"/>
  <c r="M170" i="16"/>
  <c r="M21" i="16"/>
  <c r="M18" i="16"/>
  <c r="M196" i="16"/>
  <c r="M166" i="16"/>
  <c r="M163" i="16"/>
  <c r="M156" i="16"/>
  <c r="M23" i="26"/>
  <c r="M22" i="26"/>
  <c r="M139" i="16"/>
  <c r="N23" i="26"/>
  <c r="P23" i="26"/>
  <c r="Q23" i="26"/>
  <c r="P22" i="26"/>
  <c r="Q22" i="26"/>
  <c r="N21" i="26"/>
  <c r="P21" i="26"/>
  <c r="Q21" i="26"/>
  <c r="J23" i="26"/>
  <c r="K23" i="26"/>
  <c r="K22" i="26"/>
  <c r="J22" i="26"/>
  <c r="K21" i="26"/>
  <c r="J21" i="26"/>
  <c r="P18" i="26"/>
  <c r="Q18" i="26"/>
  <c r="M18" i="26"/>
  <c r="N18" i="26"/>
  <c r="M15" i="26"/>
  <c r="N15" i="26"/>
  <c r="J18" i="26"/>
  <c r="K18" i="26"/>
  <c r="J15" i="26"/>
  <c r="K15" i="26"/>
  <c r="L24" i="26"/>
  <c r="G24" i="26"/>
  <c r="F24" i="26"/>
  <c r="O24" i="26"/>
  <c r="P15" i="26"/>
  <c r="Q15" i="26"/>
  <c r="M154" i="16"/>
  <c r="H125" i="16"/>
  <c r="I143" i="16"/>
  <c r="I124" i="16"/>
  <c r="I122" i="16"/>
  <c r="I120" i="16"/>
  <c r="I23" i="16"/>
  <c r="H143" i="16"/>
  <c r="H124" i="16"/>
  <c r="H173" i="16"/>
  <c r="H172" i="16"/>
  <c r="I125" i="16"/>
  <c r="H137" i="16"/>
  <c r="H132" i="16"/>
  <c r="H23" i="15"/>
  <c r="H12" i="15"/>
  <c r="J132" i="16"/>
  <c r="J125" i="16"/>
  <c r="I12" i="16"/>
  <c r="I11" i="16"/>
  <c r="H11" i="16"/>
  <c r="M129" i="16"/>
  <c r="K127" i="16"/>
  <c r="K156" i="16"/>
  <c r="J124" i="16"/>
  <c r="M136" i="16"/>
  <c r="M134" i="16"/>
  <c r="M127" i="16"/>
  <c r="E220" i="16"/>
  <c r="E208" i="16"/>
  <c r="E183" i="16"/>
  <c r="E170" i="16"/>
  <c r="E156" i="16"/>
  <c r="E150" i="16"/>
  <c r="E146" i="16"/>
  <c r="E142" i="16"/>
  <c r="E139" i="16"/>
  <c r="E136" i="16"/>
  <c r="E134" i="16"/>
  <c r="L12" i="16"/>
  <c r="L11" i="16"/>
  <c r="M223" i="16"/>
  <c r="M179" i="16"/>
  <c r="M175" i="16"/>
  <c r="M160" i="16"/>
  <c r="M146" i="16"/>
  <c r="M148" i="16"/>
  <c r="M141" i="16"/>
  <c r="M16" i="16"/>
  <c r="M198" i="16"/>
  <c r="M190" i="16"/>
  <c r="M188" i="16"/>
  <c r="M186" i="16"/>
  <c r="M169" i="16"/>
  <c r="M161" i="16"/>
  <c r="M150" i="16"/>
  <c r="M152" i="16"/>
  <c r="M145" i="16"/>
  <c r="M142" i="16"/>
  <c r="M131" i="16"/>
  <c r="M13" i="16"/>
  <c r="Q12" i="19"/>
  <c r="D12" i="16"/>
  <c r="D11" i="16"/>
  <c r="D217" i="16"/>
  <c r="D200" i="16"/>
  <c r="D204" i="16"/>
  <c r="D201" i="16"/>
  <c r="D184" i="16"/>
  <c r="D181" i="16"/>
  <c r="D173" i="16"/>
  <c r="D143" i="16"/>
  <c r="D137" i="16"/>
  <c r="D132" i="16"/>
  <c r="D125" i="16"/>
  <c r="E209" i="16"/>
  <c r="E211" i="16"/>
  <c r="E180" i="16"/>
  <c r="E179" i="16"/>
  <c r="E178" i="16"/>
  <c r="E141" i="16"/>
  <c r="E169" i="16"/>
  <c r="D172" i="16"/>
  <c r="D199" i="16"/>
  <c r="D124" i="16"/>
  <c r="E154" i="16"/>
  <c r="E176" i="16"/>
  <c r="E222" i="16"/>
  <c r="E223" i="16"/>
  <c r="E221" i="16"/>
  <c r="E196" i="16"/>
  <c r="E188" i="16"/>
  <c r="E186" i="16"/>
  <c r="E153" i="16"/>
  <c r="E152" i="16"/>
  <c r="E127" i="16"/>
  <c r="E18" i="16"/>
  <c r="D122" i="16"/>
  <c r="D120" i="16"/>
  <c r="D23" i="16"/>
  <c r="J209" i="16"/>
  <c r="K209" i="16"/>
  <c r="J208" i="16"/>
  <c r="K208" i="16"/>
  <c r="J207" i="16"/>
  <c r="K207" i="16"/>
  <c r="D20" i="15"/>
  <c r="D15" i="15"/>
  <c r="L217" i="16"/>
  <c r="L184" i="16"/>
  <c r="L181" i="16"/>
  <c r="L173" i="16"/>
  <c r="L143" i="16"/>
  <c r="L137" i="16"/>
  <c r="L132" i="16"/>
  <c r="L125" i="16"/>
  <c r="M125" i="16"/>
  <c r="M176" i="16"/>
  <c r="M153" i="16"/>
  <c r="M178" i="16"/>
  <c r="M180" i="16"/>
  <c r="M221" i="16"/>
  <c r="L124" i="16"/>
  <c r="L172" i="16"/>
  <c r="H204" i="16"/>
  <c r="I204" i="16"/>
  <c r="H217" i="16"/>
  <c r="I217" i="16"/>
  <c r="M217" i="16"/>
  <c r="L122" i="16"/>
  <c r="L120" i="16"/>
  <c r="J20" i="16"/>
  <c r="J215" i="16"/>
  <c r="L23" i="16"/>
  <c r="K211" i="16"/>
  <c r="J211" i="16"/>
  <c r="M222" i="16"/>
  <c r="K19" i="15"/>
  <c r="J23" i="15"/>
  <c r="K32" i="15"/>
  <c r="K31" i="15"/>
  <c r="K30" i="15"/>
  <c r="K29" i="15"/>
  <c r="K28" i="15"/>
  <c r="P13" i="19"/>
  <c r="M13" i="19"/>
  <c r="L13" i="19"/>
  <c r="J13" i="19"/>
  <c r="I13" i="19"/>
  <c r="G13" i="19"/>
  <c r="F13" i="19"/>
  <c r="Q11" i="19"/>
  <c r="O12" i="19"/>
  <c r="O13" i="19"/>
  <c r="N12" i="19"/>
  <c r="N13" i="19"/>
  <c r="K12" i="19"/>
  <c r="G12" i="19"/>
  <c r="F12" i="19"/>
  <c r="F11" i="19"/>
  <c r="P11" i="19"/>
  <c r="M11" i="19"/>
  <c r="L11" i="19"/>
  <c r="O11" i="19"/>
  <c r="J11" i="19"/>
  <c r="I11" i="19"/>
  <c r="H12" i="19"/>
  <c r="G11" i="19"/>
  <c r="H11" i="19"/>
  <c r="Q13" i="19"/>
  <c r="N11" i="19"/>
  <c r="K13" i="19"/>
  <c r="K11" i="19"/>
  <c r="J14" i="15"/>
  <c r="J218" i="16"/>
  <c r="L226" i="16"/>
  <c r="I132" i="16"/>
  <c r="M132" i="16"/>
  <c r="I137" i="16"/>
  <c r="M137" i="16"/>
  <c r="M143" i="16"/>
  <c r="I173" i="16"/>
  <c r="I181" i="16"/>
  <c r="I184" i="16"/>
  <c r="I201" i="16"/>
  <c r="H181" i="16"/>
  <c r="H184" i="16"/>
  <c r="H201" i="16"/>
  <c r="H12" i="16"/>
  <c r="J13" i="16"/>
  <c r="J15" i="16"/>
  <c r="J16" i="16"/>
  <c r="J18" i="16"/>
  <c r="J19" i="16"/>
  <c r="J21" i="16"/>
  <c r="J22" i="16"/>
  <c r="G12" i="16"/>
  <c r="G11" i="16"/>
  <c r="G26" i="16"/>
  <c r="G30" i="16"/>
  <c r="G42" i="16"/>
  <c r="G37" i="16"/>
  <c r="G52" i="16"/>
  <c r="G51" i="16"/>
  <c r="G74" i="16"/>
  <c r="G67" i="16"/>
  <c r="G78" i="16"/>
  <c r="G93" i="16"/>
  <c r="G92" i="16"/>
  <c r="G87" i="16"/>
  <c r="G86" i="16"/>
  <c r="G173" i="16"/>
  <c r="G181" i="16"/>
  <c r="G184" i="16"/>
  <c r="G201" i="16"/>
  <c r="G204" i="16"/>
  <c r="G217" i="16"/>
  <c r="F11" i="16"/>
  <c r="F26" i="16"/>
  <c r="F30" i="16"/>
  <c r="F42" i="16"/>
  <c r="F37" i="16"/>
  <c r="F52" i="16"/>
  <c r="F51" i="16"/>
  <c r="F74" i="16"/>
  <c r="F67" i="16"/>
  <c r="F78" i="16"/>
  <c r="F92" i="16"/>
  <c r="F102" i="16"/>
  <c r="F125" i="16"/>
  <c r="F132" i="16"/>
  <c r="F137" i="16"/>
  <c r="F143" i="16"/>
  <c r="F173" i="16"/>
  <c r="F181" i="16"/>
  <c r="F184" i="16"/>
  <c r="F199" i="16"/>
  <c r="K224" i="16"/>
  <c r="J224" i="16"/>
  <c r="K223" i="16"/>
  <c r="J223" i="16"/>
  <c r="K222" i="16"/>
  <c r="J222" i="16"/>
  <c r="K221" i="16"/>
  <c r="J221" i="16"/>
  <c r="K220" i="16"/>
  <c r="J220" i="16"/>
  <c r="K219" i="16"/>
  <c r="J219" i="16"/>
  <c r="K218" i="16"/>
  <c r="F217" i="16"/>
  <c r="C217" i="16"/>
  <c r="E217" i="16"/>
  <c r="K214" i="16"/>
  <c r="J214" i="16"/>
  <c r="K213" i="16"/>
  <c r="J213" i="16"/>
  <c r="J205" i="16"/>
  <c r="F204" i="16"/>
  <c r="C204" i="16"/>
  <c r="E204" i="16"/>
  <c r="K203" i="16"/>
  <c r="J203" i="16"/>
  <c r="K202" i="16"/>
  <c r="J202" i="16"/>
  <c r="F201" i="16"/>
  <c r="C201" i="16"/>
  <c r="K198" i="16"/>
  <c r="J198" i="16"/>
  <c r="K196" i="16"/>
  <c r="J196" i="16"/>
  <c r="K194" i="16"/>
  <c r="J194" i="16"/>
  <c r="K192" i="16"/>
  <c r="J192" i="16"/>
  <c r="K190" i="16"/>
  <c r="J190" i="16"/>
  <c r="K188" i="16"/>
  <c r="J188" i="16"/>
  <c r="K186" i="16"/>
  <c r="J186" i="16"/>
  <c r="C184" i="16"/>
  <c r="E184" i="16"/>
  <c r="K183" i="16"/>
  <c r="J183" i="16"/>
  <c r="C181" i="16"/>
  <c r="E181" i="16"/>
  <c r="K180" i="16"/>
  <c r="J180" i="16"/>
  <c r="K179" i="16"/>
  <c r="J179" i="16"/>
  <c r="K178" i="16"/>
  <c r="J178" i="16"/>
  <c r="K176" i="16"/>
  <c r="J176" i="16"/>
  <c r="K175" i="16"/>
  <c r="J175" i="16"/>
  <c r="C173" i="16"/>
  <c r="K170" i="16"/>
  <c r="J170" i="16"/>
  <c r="K169" i="16"/>
  <c r="J169" i="16"/>
  <c r="K168" i="16"/>
  <c r="J168" i="16"/>
  <c r="K166" i="16"/>
  <c r="J166" i="16"/>
  <c r="K165" i="16"/>
  <c r="J165" i="16"/>
  <c r="K163" i="16"/>
  <c r="J163" i="16"/>
  <c r="K161" i="16"/>
  <c r="J161" i="16"/>
  <c r="K160" i="16"/>
  <c r="J160" i="16"/>
  <c r="J156" i="16"/>
  <c r="K154" i="16"/>
  <c r="J154" i="16"/>
  <c r="K153" i="16"/>
  <c r="J153" i="16"/>
  <c r="K152" i="16"/>
  <c r="J152" i="16"/>
  <c r="K150" i="16"/>
  <c r="J150" i="16"/>
  <c r="K148" i="16"/>
  <c r="J148" i="16"/>
  <c r="K146" i="16"/>
  <c r="J146" i="16"/>
  <c r="K145" i="16"/>
  <c r="J145" i="16"/>
  <c r="C143" i="16"/>
  <c r="E143" i="16"/>
  <c r="K142" i="16"/>
  <c r="J142" i="16"/>
  <c r="K141" i="16"/>
  <c r="J141" i="16"/>
  <c r="K139" i="16"/>
  <c r="J139" i="16"/>
  <c r="C137" i="16"/>
  <c r="E137" i="16"/>
  <c r="K136" i="16"/>
  <c r="J136" i="16"/>
  <c r="K134" i="16"/>
  <c r="J134" i="16"/>
  <c r="C132" i="16"/>
  <c r="E132" i="16"/>
  <c r="K131" i="16"/>
  <c r="J131" i="16"/>
  <c r="J127" i="16"/>
  <c r="C125" i="16"/>
  <c r="E125" i="16"/>
  <c r="J121" i="16"/>
  <c r="C121" i="16"/>
  <c r="C102" i="16"/>
  <c r="C92" i="16"/>
  <c r="C78" i="16"/>
  <c r="C74" i="16"/>
  <c r="C67" i="16"/>
  <c r="C26" i="16"/>
  <c r="K22" i="16"/>
  <c r="K21" i="16"/>
  <c r="K20" i="16"/>
  <c r="K19" i="16"/>
  <c r="K18" i="16"/>
  <c r="K16" i="16"/>
  <c r="K15" i="16"/>
  <c r="K13" i="16"/>
  <c r="C12" i="16"/>
  <c r="G14" i="15"/>
  <c r="E38" i="13"/>
  <c r="E36" i="13"/>
  <c r="E34" i="13"/>
  <c r="E32" i="13"/>
  <c r="E30" i="13"/>
  <c r="K173" i="16"/>
  <c r="C11" i="16"/>
  <c r="E11" i="16"/>
  <c r="E12" i="16"/>
  <c r="C200" i="16"/>
  <c r="E201" i="16"/>
  <c r="H14" i="15"/>
  <c r="K14" i="15"/>
  <c r="I172" i="16"/>
  <c r="M172" i="16"/>
  <c r="M173" i="16"/>
  <c r="E173" i="16"/>
  <c r="C172" i="16"/>
  <c r="E172" i="16"/>
  <c r="J173" i="16"/>
  <c r="M11" i="16"/>
  <c r="M12" i="16"/>
  <c r="J217" i="16"/>
  <c r="K181" i="16"/>
  <c r="F172" i="16"/>
  <c r="J201" i="16"/>
  <c r="K137" i="16"/>
  <c r="J184" i="16"/>
  <c r="K217" i="16"/>
  <c r="J143" i="16"/>
  <c r="K12" i="16"/>
  <c r="K201" i="16"/>
  <c r="F25" i="16"/>
  <c r="G200" i="16"/>
  <c r="K132" i="16"/>
  <c r="K125" i="16"/>
  <c r="C124" i="16"/>
  <c r="G172" i="16"/>
  <c r="G122" i="16"/>
  <c r="G121" i="16"/>
  <c r="G120" i="16"/>
  <c r="G25" i="16"/>
  <c r="M124" i="16"/>
  <c r="K204" i="16"/>
  <c r="J137" i="16"/>
  <c r="F50" i="16"/>
  <c r="J181" i="16"/>
  <c r="F200" i="16"/>
  <c r="G50" i="16"/>
  <c r="F124" i="16"/>
  <c r="F87" i="16"/>
  <c r="F86" i="16"/>
  <c r="J12" i="16"/>
  <c r="J11" i="16"/>
  <c r="K184" i="16"/>
  <c r="K143" i="16"/>
  <c r="I200" i="16"/>
  <c r="I199" i="16"/>
  <c r="J204" i="16"/>
  <c r="H200" i="16"/>
  <c r="E26" i="13"/>
  <c r="K11" i="16"/>
  <c r="C122" i="16"/>
  <c r="C120" i="16"/>
  <c r="E124" i="16"/>
  <c r="C199" i="16"/>
  <c r="E199" i="16"/>
  <c r="E200" i="16"/>
  <c r="F122" i="16"/>
  <c r="F121" i="16"/>
  <c r="F120" i="16"/>
  <c r="K172" i="16"/>
  <c r="F24" i="16"/>
  <c r="G24" i="16"/>
  <c r="H122" i="16"/>
  <c r="H120" i="16"/>
  <c r="H23" i="16"/>
  <c r="G199" i="16"/>
  <c r="K124" i="16"/>
  <c r="J172" i="16"/>
  <c r="H199" i="16"/>
  <c r="J200" i="16"/>
  <c r="H226" i="16"/>
  <c r="M120" i="16"/>
  <c r="I226" i="16"/>
  <c r="C23" i="16"/>
  <c r="E23" i="16"/>
  <c r="E120" i="16"/>
  <c r="M122" i="16"/>
  <c r="F23" i="16"/>
  <c r="F226" i="16"/>
  <c r="G23" i="16"/>
  <c r="G226" i="16"/>
  <c r="J122" i="16"/>
  <c r="K122" i="16"/>
  <c r="J199" i="16"/>
  <c r="K199" i="16"/>
  <c r="K14" i="13"/>
  <c r="E14" i="13"/>
  <c r="J13" i="13"/>
  <c r="H13" i="13"/>
  <c r="G13" i="13"/>
  <c r="F13" i="13"/>
  <c r="K120" i="16"/>
  <c r="J120" i="16"/>
  <c r="J23" i="16"/>
  <c r="J226" i="16"/>
  <c r="M23" i="16"/>
  <c r="K13" i="13"/>
  <c r="M226" i="16"/>
  <c r="K23" i="16"/>
  <c r="K226" i="16"/>
  <c r="G23" i="15"/>
  <c r="J12" i="15"/>
  <c r="J25" i="13"/>
  <c r="J23" i="13"/>
  <c r="K27" i="15"/>
  <c r="K26" i="15"/>
  <c r="I19" i="15"/>
  <c r="I14" i="15"/>
  <c r="H19" i="15"/>
  <c r="K38" i="13"/>
  <c r="K36" i="13"/>
  <c r="K34" i="13"/>
  <c r="K32" i="13"/>
  <c r="K30" i="13"/>
  <c r="I18" i="13"/>
  <c r="H23" i="13"/>
  <c r="H25" i="13"/>
  <c r="I38" i="13"/>
  <c r="I36" i="13"/>
  <c r="I34" i="13"/>
  <c r="I32" i="13"/>
  <c r="I30" i="13"/>
  <c r="H28" i="13"/>
  <c r="I20" i="13"/>
  <c r="H20" i="13"/>
  <c r="H18" i="13"/>
  <c r="H16" i="13"/>
  <c r="H15" i="13"/>
  <c r="H12" i="13"/>
  <c r="H11" i="13"/>
  <c r="G12" i="15"/>
  <c r="K23" i="15"/>
  <c r="K26" i="13"/>
  <c r="K25" i="13"/>
  <c r="K23" i="13"/>
  <c r="I26" i="13"/>
  <c r="I25" i="13"/>
  <c r="G25" i="13"/>
  <c r="G23" i="13"/>
  <c r="F25" i="13"/>
  <c r="F23" i="13"/>
  <c r="C23" i="13"/>
  <c r="K20" i="13"/>
  <c r="E20" i="13"/>
  <c r="K18" i="13"/>
  <c r="E18" i="13"/>
  <c r="J16" i="13"/>
  <c r="G16" i="13"/>
  <c r="F16" i="13"/>
  <c r="F15" i="13"/>
  <c r="J15" i="13"/>
  <c r="C15" i="13"/>
  <c r="F12" i="13"/>
  <c r="J28" i="13"/>
  <c r="G28" i="13"/>
  <c r="H27" i="13"/>
  <c r="H39" i="13"/>
  <c r="L27" i="13"/>
  <c r="C20" i="15"/>
  <c r="C19" i="15"/>
  <c r="C15" i="15"/>
  <c r="C14" i="15"/>
  <c r="F28" i="13"/>
  <c r="F27" i="13"/>
  <c r="G12" i="13"/>
  <c r="J12" i="13"/>
  <c r="C12" i="13"/>
  <c r="E11" i="13"/>
  <c r="I29" i="4"/>
  <c r="E28" i="4"/>
  <c r="F18" i="4"/>
  <c r="F17" i="4"/>
  <c r="K16" i="4"/>
  <c r="I16" i="4"/>
  <c r="I15" i="4"/>
  <c r="C18" i="4"/>
  <c r="C17" i="4"/>
  <c r="G31" i="4"/>
  <c r="G24" i="4"/>
  <c r="G20" i="4"/>
  <c r="G18" i="4"/>
  <c r="K15" i="4"/>
  <c r="K26" i="4"/>
  <c r="K27" i="4"/>
  <c r="K28" i="4"/>
  <c r="K29" i="4"/>
  <c r="K30" i="4"/>
  <c r="D16" i="4"/>
  <c r="E16" i="4"/>
  <c r="F31" i="4"/>
  <c r="F24" i="4"/>
  <c r="J14" i="4"/>
  <c r="J17" i="4"/>
  <c r="J24" i="4"/>
  <c r="I25" i="4"/>
  <c r="I26" i="4"/>
  <c r="I27" i="4"/>
  <c r="I28" i="4"/>
  <c r="I30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G14" i="4"/>
  <c r="F14" i="4"/>
  <c r="I23" i="4"/>
  <c r="I22" i="4"/>
  <c r="I21" i="4"/>
  <c r="I20" i="4"/>
  <c r="I19" i="4"/>
  <c r="E23" i="4"/>
  <c r="E22" i="4"/>
  <c r="E21" i="4"/>
  <c r="E20" i="4"/>
  <c r="H23" i="4"/>
  <c r="H22" i="4"/>
  <c r="H21" i="4"/>
  <c r="H19" i="4"/>
  <c r="E19" i="4"/>
  <c r="E18" i="4"/>
  <c r="H16" i="4"/>
  <c r="H15" i="4"/>
  <c r="H25" i="4"/>
  <c r="E26" i="4"/>
  <c r="E27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25" i="4"/>
  <c r="D24" i="4"/>
  <c r="C24" i="4"/>
  <c r="E15" i="4"/>
  <c r="H26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0" i="4"/>
  <c r="H29" i="4"/>
  <c r="H28" i="4"/>
  <c r="H27" i="4"/>
  <c r="I31" i="4"/>
  <c r="I24" i="4"/>
  <c r="F11" i="13"/>
  <c r="H31" i="4"/>
  <c r="E24" i="4"/>
  <c r="J13" i="4"/>
  <c r="I28" i="13"/>
  <c r="I27" i="13"/>
  <c r="H24" i="4"/>
  <c r="K28" i="13"/>
  <c r="F13" i="4"/>
  <c r="F12" i="4"/>
  <c r="K14" i="4"/>
  <c r="J11" i="13"/>
  <c r="I12" i="13"/>
  <c r="I14" i="4"/>
  <c r="G15" i="13"/>
  <c r="I16" i="13"/>
  <c r="K24" i="4"/>
  <c r="K16" i="13"/>
  <c r="I23" i="13"/>
  <c r="H14" i="4"/>
  <c r="J27" i="13"/>
  <c r="K27" i="13"/>
  <c r="F39" i="13"/>
  <c r="K12" i="13"/>
  <c r="G27" i="13"/>
  <c r="I23" i="15"/>
  <c r="J12" i="4"/>
  <c r="G17" i="4"/>
  <c r="H17" i="4"/>
  <c r="H18" i="4"/>
  <c r="I18" i="4"/>
  <c r="I17" i="4"/>
  <c r="H20" i="4"/>
  <c r="J39" i="13"/>
  <c r="I13" i="4"/>
  <c r="I12" i="4"/>
  <c r="K15" i="13"/>
  <c r="I15" i="13"/>
  <c r="G13" i="4"/>
  <c r="G12" i="4"/>
  <c r="H12" i="4"/>
  <c r="G11" i="13"/>
  <c r="H13" i="4"/>
  <c r="K13" i="4"/>
  <c r="K11" i="13"/>
  <c r="G39" i="13"/>
  <c r="I39" i="13"/>
  <c r="I11" i="13"/>
  <c r="K12" i="4"/>
  <c r="K39" i="13"/>
</calcChain>
</file>

<file path=xl/sharedStrings.xml><?xml version="1.0" encoding="utf-8"?>
<sst xmlns="http://schemas.openxmlformats.org/spreadsheetml/2006/main" count="920" uniqueCount="472">
  <si>
    <t>DEPARTMENT OF AGRICULTURE</t>
  </si>
  <si>
    <t>PROGRAM/PROJECTS/
ACTIVITIES</t>
  </si>
  <si>
    <t>PHYSICAL</t>
  </si>
  <si>
    <t>DISBURSEMENT</t>
  </si>
  <si>
    <t>TARGET
(No.)</t>
  </si>
  <si>
    <t>ACCOMPLISHMENT</t>
  </si>
  <si>
    <t>%</t>
  </si>
  <si>
    <t>DISBURSED</t>
  </si>
  <si>
    <t>No.</t>
  </si>
  <si>
    <t xml:space="preserve">BALANCE
</t>
  </si>
  <si>
    <t>STATUS/ REMARKS</t>
  </si>
  <si>
    <t>ALLOC.</t>
  </si>
  <si>
    <t>OBLIG.</t>
  </si>
  <si>
    <t>INDICATOR</t>
  </si>
  <si>
    <t>no. of bags distributed</t>
  </si>
  <si>
    <t>no. of packs distributed</t>
  </si>
  <si>
    <t>Palay Certified Seeds (40kg/bag)</t>
  </si>
  <si>
    <t>Soil Ameliorant (packs of 2 kg)</t>
  </si>
  <si>
    <t>no. rehabilitated/repaired</t>
  </si>
  <si>
    <t xml:space="preserve">STATUS OF CALAMITY FUND FOR TYPHOON LANDO </t>
  </si>
  <si>
    <t>SARO #BMB-E-16-0019036</t>
  </si>
  <si>
    <t>PHYSICAL STATUS</t>
  </si>
  <si>
    <t>FINANCIAL STATUS</t>
  </si>
  <si>
    <t>no. of repaired/rehabilitated</t>
  </si>
  <si>
    <t>MFO 2.1 PRODUCTION SUPPORT SERVICES</t>
  </si>
  <si>
    <t>MFO 3. IRRIGATION NETWORK SERVICES</t>
  </si>
  <si>
    <t>MFO 2. TECHNICAL SUPPORT SERVICES</t>
  </si>
  <si>
    <t>A. Rehab/repair of Da-Research &amp; Experimentation Center</t>
  </si>
  <si>
    <t>GRAND TOTAL</t>
  </si>
  <si>
    <t>MFO 2.3 RESEARCH &amp; DEVELOPMENT SERVICES</t>
  </si>
  <si>
    <t>San Fernando City, La Union</t>
  </si>
  <si>
    <t>Regional Field Office</t>
  </si>
  <si>
    <t>Limmansangan SWIP, Alaminos, Pangasinan</t>
  </si>
  <si>
    <t>Bunao CIS,  Mangatarem, Pangasinan</t>
  </si>
  <si>
    <t>Don Gorio CIS, Mangatarem, Pangasinan</t>
  </si>
  <si>
    <t>Victory Dam, Mangatarem, Pangasinan</t>
  </si>
  <si>
    <t>Simon-Casagatan CIS, Mangatarem, Pangasinan</t>
  </si>
  <si>
    <t>Cabaroan-Sanchez CIS,  Mangatarem, Pang.</t>
  </si>
  <si>
    <t>Luna Este SWIP, umingan, Pangasinan</t>
  </si>
  <si>
    <t>Puraw SWIP, Umingan, Pangasinan</t>
  </si>
  <si>
    <t>Carayungan SWIP, Umingan, Pangasinan</t>
  </si>
  <si>
    <t>Ricos II SWIP, Umingan, Pangasinan</t>
  </si>
  <si>
    <t>Diaz SWIP, Umingan, Pangasinan</t>
  </si>
  <si>
    <t>Digap SWIP, Umingan, Pangasinan</t>
  </si>
  <si>
    <t>Diket SWIP, Umingan, Pangasinan</t>
  </si>
  <si>
    <t>Upper Banila Irrigation Project, Umingan, Pang.</t>
  </si>
  <si>
    <t>Calaocan SWIP, Umingan, Pangasinan</t>
  </si>
  <si>
    <t>Digad SWIP, Umingan, Pangasinan</t>
  </si>
  <si>
    <t>Tanggal Espiritu CIS, Umingan, Pangasinan</t>
  </si>
  <si>
    <t>Tanggal Barrat CIS, Umingan, Pangasinan</t>
  </si>
  <si>
    <t>Tanggal Vicente CIS, Umingan, Pangasinan</t>
  </si>
  <si>
    <t>Matibbeg DD, Umingan, Pangasinan</t>
  </si>
  <si>
    <t>Sira-Buenaflor DD, Umingan, Pangasinan</t>
  </si>
  <si>
    <t>Waig-KabitnonganDD, San Quintin, Pangasinan</t>
  </si>
  <si>
    <t>Camagsese CIS, Sual, Pangasinan</t>
  </si>
  <si>
    <t>Victoria CIS, Sual, Pangasinan</t>
  </si>
  <si>
    <t>Tanggal Padua CIS, Sual, Pangasinan</t>
  </si>
  <si>
    <t>Nangalisan DD, Infanta, Pangasinan</t>
  </si>
  <si>
    <t>Bamban CIS, Infanta, Pangasinan</t>
  </si>
  <si>
    <t>Gayun Gayun CIS, Agno, Pangasinan</t>
  </si>
  <si>
    <t>Pateng I CIS,  Agno, Pangasinan</t>
  </si>
  <si>
    <t>Agbayani Dam, Balungao,Pangasinan</t>
  </si>
  <si>
    <t>Madilap Dam, Balungao, Pangasinan</t>
  </si>
  <si>
    <t>Catillaongan Dam, Balungao, Pangasinan</t>
  </si>
  <si>
    <t>Calancian Dam, Balungao, Pangasinan</t>
  </si>
  <si>
    <t>Casiaman DD, Bacnotan, La Union</t>
  </si>
  <si>
    <t>Nagsabaran CIS, San Juan, La Union</t>
  </si>
  <si>
    <t>Pideg I CIS, Tubao, La Union</t>
  </si>
  <si>
    <t>Pideg II CIS, Tubao, La Union</t>
  </si>
  <si>
    <t>Dacnap- Baliw SSIP, Pugo, La Union</t>
  </si>
  <si>
    <t>Pateng II CIS, Agno, Pangasinan</t>
  </si>
  <si>
    <t>Rehabilitation of fertilizer bodega, PREC, Sta. Barabara, Pang.</t>
  </si>
  <si>
    <t>Rehabilitation of Motor pool garage, Sual &amp; PREC, Sta. Barabara, Pang.</t>
  </si>
  <si>
    <t>Rehabilitation of guest house 2, PREC, Sta. Barbara, Pangasinan</t>
  </si>
  <si>
    <t>Rehabilitation of duck house, Sual, Pangasinan</t>
  </si>
  <si>
    <t>Rehabilitation of multi-purpose shed, Sual, Pangasinan</t>
  </si>
  <si>
    <t>Completed; for inspection</t>
  </si>
  <si>
    <t>On-going distribution</t>
  </si>
  <si>
    <t>Completed</t>
  </si>
  <si>
    <t>on-going @ 5% accomp; suspended due to standing crops</t>
  </si>
  <si>
    <t>Distribution completed</t>
  </si>
  <si>
    <t>MOA already signed, for submission of other pertinent documents for fund transfer</t>
  </si>
  <si>
    <t>For submission of pertinent documents for FT by the LGU</t>
  </si>
  <si>
    <t>Site still submerge in water</t>
  </si>
  <si>
    <t>On-going construction @ 30% accomp</t>
  </si>
  <si>
    <t>On-going construction @ 15% accomp</t>
  </si>
  <si>
    <t>Already FT transferred to LGU for implementation</t>
  </si>
  <si>
    <t>Bidded and awarded</t>
  </si>
  <si>
    <t>65 % accomplishment</t>
  </si>
  <si>
    <t>Motorpool garage, Sual : On-going construction while the Motorpool Garage, Sta. Barbara : NTP to be issued/to be signed</t>
  </si>
  <si>
    <t>For schedule of bidding; On going revision due to change of site</t>
  </si>
  <si>
    <t>For approval of PR, POW and revised plans. For schedule of bidding</t>
  </si>
  <si>
    <t>On-going construction</t>
  </si>
  <si>
    <t>Obligated for fund transfer to LGU</t>
  </si>
  <si>
    <t>bag</t>
  </si>
  <si>
    <t>unit</t>
  </si>
  <si>
    <t>Ilocos Norte</t>
  </si>
  <si>
    <t>Ilocos Sur</t>
  </si>
  <si>
    <t>La Union</t>
  </si>
  <si>
    <t>Pangasinan</t>
  </si>
  <si>
    <t xml:space="preserve"> </t>
  </si>
  <si>
    <t>OPV</t>
  </si>
  <si>
    <t>Certified Seeds</t>
  </si>
  <si>
    <t>Provision of Seeds</t>
  </si>
  <si>
    <t>Disbursed</t>
  </si>
  <si>
    <t>UNOBLIGATED
(PhP)</t>
  </si>
  <si>
    <t>OBLIGATED
(PhP)</t>
  </si>
  <si>
    <t>NO.</t>
  </si>
  <si>
    <t>OBLIGATION</t>
  </si>
  <si>
    <t>ALLOCATION
(PhP)</t>
  </si>
  <si>
    <t>ACCOMPLISHED</t>
  </si>
  <si>
    <t>REMARKS</t>
  </si>
  <si>
    <t xml:space="preserve">FINANCIAL </t>
  </si>
  <si>
    <t>UNIT OF MEASURE</t>
  </si>
  <si>
    <t>INTERVENTION</t>
  </si>
  <si>
    <t>REHABILITATION/RECOVERY ACCOMPLISHMENT REPORT</t>
  </si>
  <si>
    <t>as of November 30, 2018</t>
  </si>
  <si>
    <t>bags</t>
  </si>
  <si>
    <t>pack</t>
  </si>
  <si>
    <t>OPERATIONS</t>
  </si>
  <si>
    <t>heads</t>
  </si>
  <si>
    <t>doses</t>
  </si>
  <si>
    <t>HVCDP</t>
  </si>
  <si>
    <t>LIVESTOCK</t>
  </si>
  <si>
    <t>TYPHOON OMPONG REHABILITATION FUND</t>
  </si>
  <si>
    <t>RICE BANNER PROGRAM</t>
  </si>
  <si>
    <t>&gt; Hybrid seeds (@15/bag for 1 ha)</t>
  </si>
  <si>
    <t>Procured/Distributed</t>
  </si>
  <si>
    <t>Fertilizer &amp; Other Soil Ameliorants</t>
  </si>
  <si>
    <t>LIVESTOCK BANNER PROGRAM</t>
  </si>
  <si>
    <t>Provision of Livestock Livelihood Projects</t>
  </si>
  <si>
    <t>&gt;Ducks</t>
  </si>
  <si>
    <t>Agri-Fishery Machineries, Equipment and Facilities Services</t>
  </si>
  <si>
    <t>Post Harvest Equipment and Machineries</t>
  </si>
  <si>
    <t>&gt; Combined harvester</t>
  </si>
  <si>
    <t>&gt; Tractor</t>
  </si>
  <si>
    <t>REGIONAL FIELD OFFFICE 1</t>
  </si>
  <si>
    <t>Program/ 
Sub-program/
Indicators</t>
  </si>
  <si>
    <t>Indicator</t>
  </si>
  <si>
    <t>Production Support Services Sub-Program</t>
  </si>
  <si>
    <t>Soil Ameliorant</t>
  </si>
  <si>
    <t>kilogram</t>
  </si>
  <si>
    <t>&gt;Goat</t>
  </si>
  <si>
    <t xml:space="preserve">                        </t>
  </si>
  <si>
    <t xml:space="preserve">Veterinary Drugs </t>
  </si>
  <si>
    <t>Grand Total</t>
  </si>
  <si>
    <t>&gt;Sheep</t>
  </si>
  <si>
    <t>&gt;Improved chicken</t>
  </si>
  <si>
    <t>Corn Banner Program</t>
  </si>
  <si>
    <t>Goat</t>
  </si>
  <si>
    <t>Cattle</t>
  </si>
  <si>
    <t>Chicken</t>
  </si>
  <si>
    <t>Accomplished</t>
  </si>
  <si>
    <t>Support to Operations</t>
  </si>
  <si>
    <t>Livestock and Poultry Dispersal</t>
  </si>
  <si>
    <t>Drugs and Biologics</t>
  </si>
  <si>
    <t>Feed Supplements</t>
  </si>
  <si>
    <t>head</t>
  </si>
  <si>
    <t>For African Swine Fever Affected Areas</t>
  </si>
  <si>
    <t>Unobligated ('000)</t>
  </si>
  <si>
    <t>Department of Agriculture</t>
  </si>
  <si>
    <t>Ilocos Region</t>
  </si>
  <si>
    <t>MFO
Programs/Projects/Activity</t>
  </si>
  <si>
    <t>Unit of 
Measure</t>
  </si>
  <si>
    <t>MOOE</t>
  </si>
  <si>
    <t>CO</t>
  </si>
  <si>
    <t>GENERAL ADMINISTRATIVE SERVICES (GASS)</t>
  </si>
  <si>
    <t>Rehabilitation/Enhancement of DA offices and buildings</t>
  </si>
  <si>
    <t>Rehabilitation and Enhancement of Administrative Building</t>
  </si>
  <si>
    <t>Rehabilitation and Enhancement of Employee’s Quarter</t>
  </si>
  <si>
    <t>Rehabilitation and Enhancement of Duplex Roofing</t>
  </si>
  <si>
    <t>Rehabilitation and Enhancement of Veterinary Laboratory</t>
  </si>
  <si>
    <t>Rehabilitation and Enhancement of Field Operations Unit Building</t>
  </si>
  <si>
    <t>Reconstruction of Soils and Feeds Laboratory cum Region 1 Disaster Risk Reduction and Management Operations Center</t>
  </si>
  <si>
    <t>MFO 2.1.  PRODUCTION SUPPORT SERVICES (PSS)</t>
  </si>
  <si>
    <t>RICE PROGRAM</t>
  </si>
  <si>
    <t xml:space="preserve">Foundation Seeds </t>
  </si>
  <si>
    <t xml:space="preserve">Hybrid Seeds </t>
  </si>
  <si>
    <t>40 kgs./bag</t>
  </si>
  <si>
    <t>Provision of Fertilizer</t>
  </si>
  <si>
    <t>Urea</t>
  </si>
  <si>
    <t>50kg/bag</t>
  </si>
  <si>
    <t>Complete</t>
  </si>
  <si>
    <t>Organic</t>
  </si>
  <si>
    <t>Others</t>
  </si>
  <si>
    <t>Provision of Soil Ameliorants</t>
  </si>
  <si>
    <t>packs</t>
  </si>
  <si>
    <t>CORN/ CASSAVA PROGRAM</t>
  </si>
  <si>
    <t>Yellow corn (Sweet Corn)</t>
  </si>
  <si>
    <t>Hybrid</t>
  </si>
  <si>
    <t>OPV White Corn</t>
  </si>
  <si>
    <t>pieces</t>
  </si>
  <si>
    <t>Laminated Sacks</t>
  </si>
  <si>
    <t>HIGH VALUE CROPS</t>
  </si>
  <si>
    <t>Vegetable Seeds</t>
  </si>
  <si>
    <t>Lowland</t>
  </si>
  <si>
    <t>Sweet Pepper</t>
  </si>
  <si>
    <t>Ampalaya</t>
  </si>
  <si>
    <t>Squash</t>
  </si>
  <si>
    <t>Tomato</t>
  </si>
  <si>
    <t>Eggplant</t>
  </si>
  <si>
    <t>Upland</t>
  </si>
  <si>
    <t>Assorted Vegetables</t>
  </si>
  <si>
    <t>Papaya</t>
  </si>
  <si>
    <t>packets</t>
  </si>
  <si>
    <t>Spices</t>
  </si>
  <si>
    <t>Watermelon</t>
  </si>
  <si>
    <t xml:space="preserve">Others </t>
  </si>
  <si>
    <t>Provision of Planting Materials</t>
  </si>
  <si>
    <t>Mango</t>
  </si>
  <si>
    <t>piece</t>
  </si>
  <si>
    <t>Rambutan</t>
  </si>
  <si>
    <t>Cacao</t>
  </si>
  <si>
    <t>Calamansi/Citrus</t>
  </si>
  <si>
    <t>Coffee</t>
  </si>
  <si>
    <t>Lanzones</t>
  </si>
  <si>
    <t>Rootcrops</t>
  </si>
  <si>
    <t>Sweet Potato</t>
  </si>
  <si>
    <t>cuttings</t>
  </si>
  <si>
    <t>PE Plastic Sheet</t>
  </si>
  <si>
    <t>roll</t>
  </si>
  <si>
    <t>Fertilizer</t>
  </si>
  <si>
    <t>Foliar Spray</t>
  </si>
  <si>
    <t>liter</t>
  </si>
  <si>
    <t>Re-Stocking of Animals</t>
  </si>
  <si>
    <t>Large Ruminants</t>
  </si>
  <si>
    <t>Carabao</t>
  </si>
  <si>
    <t>Horse</t>
  </si>
  <si>
    <t>Small Ruminants</t>
  </si>
  <si>
    <t>Doe</t>
  </si>
  <si>
    <t>Buck</t>
  </si>
  <si>
    <t>Male/Female</t>
  </si>
  <si>
    <t>Sheep</t>
  </si>
  <si>
    <t>Ewe</t>
  </si>
  <si>
    <t>Ram</t>
  </si>
  <si>
    <t>Swine/Native Swine</t>
  </si>
  <si>
    <t>Poultry</t>
  </si>
  <si>
    <t>Ducks</t>
  </si>
  <si>
    <t>Native</t>
  </si>
  <si>
    <t>Free-Ranged Chicken</t>
  </si>
  <si>
    <t>Turkey</t>
  </si>
  <si>
    <t>Provision of Animal Feeds and supplements/drugs and biologics</t>
  </si>
  <si>
    <t>bottle</t>
  </si>
  <si>
    <t>Feeds</t>
  </si>
  <si>
    <t>Multi-Vitamins</t>
  </si>
  <si>
    <t>Antibiotic</t>
  </si>
  <si>
    <t>Vaccine</t>
  </si>
  <si>
    <t>Dewormer</t>
  </si>
  <si>
    <t>MFO 2.4. RESEARCH AND DEVELOPMENT</t>
  </si>
  <si>
    <t>Rehabilitation of Central Luzon Integrated Agricultural Research Center for Hillyland Development (CLIARC-UD)</t>
  </si>
  <si>
    <t>MFO 3:  IRRIGATION NETWORK SERVICES (INS)</t>
  </si>
  <si>
    <t>Rehabilitation of Irrigation Dams/Systems</t>
  </si>
  <si>
    <t>Communal Irrigation System (CIS)</t>
  </si>
  <si>
    <t>Diversion Dam (DD)</t>
  </si>
  <si>
    <t>Natividad</t>
  </si>
  <si>
    <t>Improvement of Bantay Tanggal DD</t>
  </si>
  <si>
    <t>Sual(PREC)</t>
  </si>
  <si>
    <t>PREC-Sual canal lining</t>
  </si>
  <si>
    <t>San Juan</t>
  </si>
  <si>
    <t>Dasay DD</t>
  </si>
  <si>
    <t>Rosario</t>
  </si>
  <si>
    <t>Carunuan West DD</t>
  </si>
  <si>
    <t>Quirino</t>
  </si>
  <si>
    <t>Sinait</t>
  </si>
  <si>
    <t>Ubbog DD</t>
  </si>
  <si>
    <t>Nagcullooban DD</t>
  </si>
  <si>
    <t>Carasi</t>
  </si>
  <si>
    <t>Bungad DD</t>
  </si>
  <si>
    <t>Bimoyayong DD</t>
  </si>
  <si>
    <t>Bangui</t>
  </si>
  <si>
    <t>Taguiporo Grande DD</t>
  </si>
  <si>
    <t>Burgos</t>
  </si>
  <si>
    <t>Ablan DD</t>
  </si>
  <si>
    <t>Vintar</t>
  </si>
  <si>
    <t>Cabisuculan DD</t>
  </si>
  <si>
    <t>Dipilat Canal Lining</t>
  </si>
  <si>
    <t>Zanjera Camaquin DD</t>
  </si>
  <si>
    <t>Piddig</t>
  </si>
  <si>
    <t>Abucay Canal Lining</t>
  </si>
  <si>
    <t>Pagudpud</t>
  </si>
  <si>
    <t>Rincon DD</t>
  </si>
  <si>
    <t>Tabbog DD</t>
  </si>
  <si>
    <t>Pinili</t>
  </si>
  <si>
    <t>Bungro DD</t>
  </si>
  <si>
    <t>Paoay</t>
  </si>
  <si>
    <t>San Agustin DD</t>
  </si>
  <si>
    <t>Salbang DD</t>
  </si>
  <si>
    <t>Solsona</t>
  </si>
  <si>
    <t>Barcelona DD</t>
  </si>
  <si>
    <t>Bubuos Capurictan DD</t>
  </si>
  <si>
    <t>Small Water Impounding Projects (SWIP)</t>
  </si>
  <si>
    <t>Umingan</t>
  </si>
  <si>
    <t>Casilan SWIP</t>
  </si>
  <si>
    <t>Digap SWIP</t>
  </si>
  <si>
    <t>Balungao</t>
  </si>
  <si>
    <t>San Aurelio SWIP</t>
  </si>
  <si>
    <t>Angayan Sur SWIP</t>
  </si>
  <si>
    <t>Centro SWIP</t>
  </si>
  <si>
    <t>Sta.Maria</t>
  </si>
  <si>
    <t>Pinsal SWIP</t>
  </si>
  <si>
    <t>Nagsurot SWIP</t>
  </si>
  <si>
    <t>Saricao SWIP</t>
  </si>
  <si>
    <t>Sarrat</t>
  </si>
  <si>
    <t>San Cristobal SWIP</t>
  </si>
  <si>
    <t>Tangaoan SWIP</t>
  </si>
  <si>
    <t xml:space="preserve"> Batac</t>
  </si>
  <si>
    <t>Pimentel SWIP</t>
  </si>
  <si>
    <t>Nagtrigoan SWIP</t>
  </si>
  <si>
    <t>San Nicolas</t>
  </si>
  <si>
    <t>Samac SWIP</t>
  </si>
  <si>
    <t>MFO 5:  AGRICULTURAL FARM MACHINERIES, EQUIPMENT AND FACILITIES</t>
  </si>
  <si>
    <t>Rehabilitation of Production and Post-Harvest Facilities</t>
  </si>
  <si>
    <t xml:space="preserve">Mushroom Growing facility </t>
  </si>
  <si>
    <t>Buffer seed bodega</t>
  </si>
  <si>
    <t>Mango seedling nursery</t>
  </si>
  <si>
    <t>Screenhouses</t>
  </si>
  <si>
    <t>Greenhouse</t>
  </si>
  <si>
    <t>Garlic Storage Facility</t>
  </si>
  <si>
    <t>Nursery (2)</t>
  </si>
  <si>
    <t>units</t>
  </si>
  <si>
    <t>Honey bee cages roofing</t>
  </si>
  <si>
    <t>Organic goat house</t>
  </si>
  <si>
    <t>Goat House</t>
  </si>
  <si>
    <t>Livestock Section pump house</t>
  </si>
  <si>
    <t>Chicken house with fence</t>
  </si>
  <si>
    <t>Duck house</t>
  </si>
  <si>
    <t>Piggery house with fence</t>
  </si>
  <si>
    <t>Target No.</t>
  </si>
  <si>
    <t>ALLOCATION</t>
  </si>
  <si>
    <t xml:space="preserve">Physical
</t>
  </si>
  <si>
    <t>FINANCIAL ('000)</t>
  </si>
  <si>
    <t xml:space="preserve">Obligated ('000) </t>
  </si>
  <si>
    <t>200M Typhoon Ompong Rehabilitation and Recovery Program</t>
  </si>
  <si>
    <t>a. Cattle</t>
  </si>
  <si>
    <t xml:space="preserve">        Upgraded Yearling</t>
  </si>
  <si>
    <t xml:space="preserve">        Upgraded Heifer</t>
  </si>
  <si>
    <t xml:space="preserve">        Upgraded Junior Bull</t>
  </si>
  <si>
    <t>a. Chicken</t>
  </si>
  <si>
    <t xml:space="preserve">         Free Range Chicken (Pullet)</t>
  </si>
  <si>
    <t xml:space="preserve">         Free Range Chicken (Rooster)</t>
  </si>
  <si>
    <t>Agricultural Expenses</t>
  </si>
  <si>
    <t>Realignment of projects.</t>
  </si>
  <si>
    <t xml:space="preserve">      Liquid Disinfectant</t>
  </si>
  <si>
    <t xml:space="preserve">      Hydrated lime</t>
  </si>
  <si>
    <t xml:space="preserve">    ASF Test Kits</t>
  </si>
  <si>
    <t xml:space="preserve">     Positive Control</t>
  </si>
  <si>
    <t xml:space="preserve">     Liquid Disinfectants</t>
  </si>
  <si>
    <t>gals</t>
  </si>
  <si>
    <t>sets</t>
  </si>
  <si>
    <t>Nagpatpatan Canal Lining</t>
  </si>
  <si>
    <t>Completed.</t>
  </si>
  <si>
    <t>Veterinary Drugs/Supplements</t>
  </si>
  <si>
    <t>bots</t>
  </si>
  <si>
    <t>Animal Feeds</t>
  </si>
  <si>
    <t>Prepared by:</t>
  </si>
  <si>
    <t>Reviewed by :</t>
  </si>
  <si>
    <t>Certified correct:</t>
  </si>
  <si>
    <t>Noted by:</t>
  </si>
  <si>
    <t>JULIUS R. BRIONES</t>
  </si>
  <si>
    <t>IRENE P. TACTAC</t>
  </si>
  <si>
    <t>GILDA R.RODRIGUEZ</t>
  </si>
  <si>
    <t>JOEL G. MACONOCIDO</t>
  </si>
  <si>
    <t xml:space="preserve">Report Officer, RDRRM Opcen </t>
  </si>
  <si>
    <t>RDRRM Focal/Coordinator</t>
  </si>
  <si>
    <t>Chief, Budget Section</t>
  </si>
  <si>
    <t>OIC-Chief, Admin and Finance Division</t>
  </si>
  <si>
    <t>SARO-E-20-0000156</t>
  </si>
  <si>
    <t>Payment completed last February 2020/ Used in disease monitoring and surveillance</t>
  </si>
  <si>
    <t>Obligated</t>
  </si>
  <si>
    <t>Total procured seeds is good for 17,434 ha. Which is more than the target, this is due to efficient bidding process; 
Complete distribution to farmer beneficiaries</t>
  </si>
  <si>
    <t>Area served</t>
  </si>
  <si>
    <t>Project Cancelled; Allocated fund will be utilized for other infrastructure projects with adjusted project cost.</t>
  </si>
  <si>
    <t>NESTOR D. DOMENDEN, CESO IV</t>
  </si>
  <si>
    <t>OIC-Regional Executive Director</t>
  </si>
  <si>
    <t xml:space="preserve">  </t>
  </si>
  <si>
    <t>SARO-E-19-0012554</t>
  </si>
  <si>
    <t>Region I</t>
  </si>
  <si>
    <t>DESCRIPTION</t>
  </si>
  <si>
    <t>LOCATION</t>
  </si>
  <si>
    <t>BENEFICIARIES</t>
  </si>
  <si>
    <t>PROVINCE</t>
  </si>
  <si>
    <t>MUNICIPALITY</t>
  </si>
  <si>
    <t>SERVED</t>
  </si>
  <si>
    <t>% 
(Disbursed vs Obligated)</t>
  </si>
  <si>
    <t>TOTAL</t>
  </si>
  <si>
    <t>Certified by</t>
  </si>
  <si>
    <t>IRENE P. TACTAc</t>
  </si>
  <si>
    <t>CRISTINA A. JACINTO</t>
  </si>
  <si>
    <t>ARNOLD T. EBREO</t>
  </si>
  <si>
    <t>Rehabilitation and Enhancement of Dormitory Building  (Laborers’ Quarter)</t>
  </si>
  <si>
    <t>Rehabilitation and Enhancement of  Multi-purpose building --(Reconstruction of Guests’ House and Operations Building)</t>
  </si>
  <si>
    <t>OIC, Budget Section</t>
  </si>
  <si>
    <t>Chief, Accounting Section</t>
  </si>
  <si>
    <t>Manugos DD</t>
  </si>
  <si>
    <t>For commencement of work</t>
  </si>
  <si>
    <t>Completed/Distributed; Mortality -1 yearling (emergency slaughter)</t>
  </si>
  <si>
    <t>Completed/ Distributed</t>
  </si>
  <si>
    <t>For African Swine Fever Affected Farmers/Raisers</t>
  </si>
  <si>
    <t>Indemnification</t>
  </si>
  <si>
    <t>1. Distribution of cash assistance</t>
  </si>
  <si>
    <t>no. of animals indemnified</t>
  </si>
  <si>
    <t>site</t>
  </si>
  <si>
    <t>Nursery and Warehouse/Seed Storage (PREC Station)</t>
  </si>
  <si>
    <t>Rehabilitation and Enhancement of Dormitory Building  (PREC Station-additional fund)</t>
  </si>
  <si>
    <t>Buffer seed bodega (support fund)</t>
  </si>
  <si>
    <t xml:space="preserve">               a.) Dingras, Ilocos Norte</t>
  </si>
  <si>
    <t>Perimeter Fence</t>
  </si>
  <si>
    <t>As of February 01, 2021</t>
  </si>
  <si>
    <t xml:space="preserve">               b.) Batac City, Ilocos Norte</t>
  </si>
  <si>
    <t xml:space="preserve">               c.) Sual, Pangasinan</t>
  </si>
  <si>
    <t xml:space="preserve">             a.) INREC Station</t>
  </si>
  <si>
    <t xml:space="preserve">             b.) PREC Station</t>
  </si>
  <si>
    <t>For signature of contract agreement</t>
  </si>
  <si>
    <t>Project cancelled</t>
  </si>
  <si>
    <t xml:space="preserve">     </t>
  </si>
  <si>
    <t>MARICHU C. VILLEGAS</t>
  </si>
  <si>
    <t>Allocated fund will be used in the construction of buffer seed bodega under Rice Program.</t>
  </si>
  <si>
    <t xml:space="preserve">Temporary suspended </t>
  </si>
  <si>
    <t xml:space="preserve">Batac </t>
  </si>
  <si>
    <t xml:space="preserve">Improvement of Irrigation Canal </t>
  </si>
  <si>
    <t>Mapandan</t>
  </si>
  <si>
    <t xml:space="preserve">Construction of additional canal lining </t>
  </si>
  <si>
    <t>ASA No. 2019-000166</t>
  </si>
  <si>
    <t>Savings; Fund Transferred to LGU- Mapandan</t>
  </si>
  <si>
    <t>DOMINADOR R. LIM, JR.</t>
  </si>
  <si>
    <t xml:space="preserve">DOMINADOR R. LIM, JR. </t>
  </si>
  <si>
    <t xml:space="preserve">Completed </t>
  </si>
  <si>
    <t>62.87% physical accomplishment but no on-going construction activity</t>
  </si>
  <si>
    <t xml:space="preserve">Waiting for submission of as-built drawings as attachment for final billing with 100.00% physical accomplishment </t>
  </si>
  <si>
    <t>Typhoon Nika, Ofel, Pepito, Quinta, Rolly, Ulysses</t>
  </si>
  <si>
    <t>As of July 01, 2021</t>
  </si>
  <si>
    <t>SARO-BMB-E-21-0001862/ GAA CY 2021</t>
  </si>
  <si>
    <t>P/P/As</t>
  </si>
  <si>
    <t xml:space="preserve">Production Support Services Sub-Program  </t>
  </si>
  <si>
    <t xml:space="preserve">GM Hybrid Yellow Corn </t>
  </si>
  <si>
    <t xml:space="preserve">bags </t>
  </si>
  <si>
    <t xml:space="preserve">High Value Crops Development Program </t>
  </si>
  <si>
    <t>Vegetables Seeds</t>
  </si>
  <si>
    <t xml:space="preserve">kilogram </t>
  </si>
  <si>
    <t xml:space="preserve">Livestock Banner Program </t>
  </si>
  <si>
    <t xml:space="preserve">Livelihood Assistance Program </t>
  </si>
  <si>
    <t xml:space="preserve">Mallard Duck </t>
  </si>
  <si>
    <t xml:space="preserve">heads </t>
  </si>
  <si>
    <t>On-going wall plastering and riprap with 50.00% physical accomplishment</t>
  </si>
  <si>
    <t xml:space="preserve">Completed; On-going process of final billing </t>
  </si>
  <si>
    <t>On-going concrete pouring and installation of reinforced concrete pipe with 89.10% physical accomplishment</t>
  </si>
  <si>
    <t>On-going laying of boulders (stone masonry) with 58.47% physical accomplishment</t>
  </si>
  <si>
    <t>58.38% physical accomplishment but no on-going construction activity</t>
  </si>
  <si>
    <t>36.44% physical accomplishment but no on-going construction activity</t>
  </si>
  <si>
    <t>5.00% physical accomplishment but no on-going construction activity</t>
  </si>
  <si>
    <t xml:space="preserve">Completed; On-going preparation of billing documents </t>
  </si>
  <si>
    <t>As of august 02, 2021</t>
  </si>
  <si>
    <t>As of August 02, 2021</t>
  </si>
  <si>
    <t>Recommended for final inspection with 100.00% physical accomplishment</t>
  </si>
  <si>
    <t>On-going wall plastering with 45.59% physical accomplishment</t>
  </si>
  <si>
    <t>21.02% physical accomplishment but no on-going construction activity;Issued order of termination due to incurred of more than 15% slippage on the contract</t>
  </si>
  <si>
    <t>71.92% physical accomplishment but no on-going construction activity due to unworkable site brought by rainfall</t>
  </si>
  <si>
    <t>Reported completed by the contractor and for verification of the RIC with 92.66% physical accomplishment</t>
  </si>
  <si>
    <t>96.29 % physical accomplishment with no on-going construction activity due to unworkable site brought by rainfall; Savings (Under Irrigation Network Services on National Rice Program)</t>
  </si>
  <si>
    <t>For resumption of work with 34.55% physical accomplishment</t>
  </si>
  <si>
    <t>Reported completed by the contractor for re-inspection of RIC with 93.93% physical accomplishment</t>
  </si>
  <si>
    <t xml:space="preserve">Completed; On-going of final billing </t>
  </si>
  <si>
    <t xml:space="preserve">On-going construction of canal with 57.40% physical accomplishment </t>
  </si>
  <si>
    <t>For preparation of billing documents with 100.00% physical accomplishment</t>
  </si>
  <si>
    <t>60.00 % physical accomplishment but no on-going construction activity due to unworkable site brought by rainfall</t>
  </si>
  <si>
    <t>On- going process of final billing with 100.00% physical accomplishment</t>
  </si>
  <si>
    <t>On-going excavation for concrete footing with 23.94% physical accomplishment</t>
  </si>
  <si>
    <t>For signature of SWA and as-built drawings with 100.00% physical accomplishment</t>
  </si>
  <si>
    <t>For Posting (PhilGeps)</t>
  </si>
  <si>
    <t xml:space="preserve">Completed; Unmet physical target is due to higher unit cost of the improved chicken. </t>
  </si>
  <si>
    <t>For Earmarking</t>
  </si>
  <si>
    <t xml:space="preserve">For Earmarking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</si>
</sst>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0.0"/>
    <numFmt numFmtId="167" formatCode="_(* #,##0.0000000_);_(* \(#,##0.0000000\);_(* &quot;-&quot;??_);_(@_)"/>
    <numFmt numFmtId="168" formatCode="_(* #,##0.00_);_(* \(#,##0.00\);_(* &quot;-&quot;??_);_(@_)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u val="singleAccounting"/>
      <sz val="12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Arial"/>
      <family val="2"/>
    </font>
    <font>
      <sz val="12"/>
      <color rgb="FFFF0000"/>
      <name val="Calibri"/>
      <family val="2"/>
      <scheme val="minor"/>
    </font>
    <font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sz val="16"/>
      <name val="Abadi MT Condensed Extra Bold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sz val="11"/>
      <color theme="1"/>
      <name val="Arial Narrow"/>
      <family val="2"/>
    </font>
    <font>
      <b/>
      <sz val="11"/>
      <color rgb="FF0000FF"/>
      <name val="Arial Narrow"/>
      <family val="2"/>
    </font>
    <font>
      <b/>
      <sz val="11"/>
      <color theme="1"/>
      <name val="Arial Narrow"/>
      <family val="2"/>
    </font>
    <font>
      <b/>
      <sz val="11"/>
      <color rgb="FF0070C0"/>
      <name val="Arial Narrow"/>
      <family val="2"/>
    </font>
    <font>
      <sz val="11"/>
      <color rgb="FF0070C0"/>
      <name val="Arial Narrow"/>
      <family val="2"/>
    </font>
    <font>
      <b/>
      <sz val="11"/>
      <color rgb="FFFF0000"/>
      <name val="Arial Narrow"/>
      <family val="2"/>
    </font>
    <font>
      <b/>
      <i/>
      <sz val="11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6"/>
      <color theme="1"/>
      <name val="Arial Narrow"/>
      <family val="2"/>
    </font>
    <font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name val="Calibri"/>
      <family val="2"/>
      <scheme val="minor"/>
    </font>
    <font>
      <i/>
      <sz val="16"/>
      <color theme="1"/>
      <name val="Arial Narrow"/>
      <family val="2"/>
    </font>
    <font>
      <i/>
      <sz val="16"/>
      <name val="Calibri"/>
      <family val="2"/>
      <scheme val="minor"/>
    </font>
    <font>
      <i/>
      <sz val="11"/>
      <color theme="1"/>
      <name val="Calibri"/>
      <family val="2"/>
    </font>
    <font>
      <sz val="10"/>
      <color theme="1"/>
      <name val="Cambria"/>
      <family val="1"/>
    </font>
    <font>
      <sz val="12"/>
      <color theme="1"/>
      <name val="Cambria"/>
      <family val="1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2"/>
      <color theme="0"/>
      <name val="Cambria"/>
      <family val="1"/>
    </font>
    <font>
      <sz val="12"/>
      <color theme="0"/>
      <name val="Cambria"/>
      <family val="1"/>
    </font>
    <font>
      <b/>
      <sz val="12"/>
      <color theme="1"/>
      <name val="Cambria"/>
      <family val="1"/>
    </font>
    <font>
      <i/>
      <sz val="12"/>
      <color theme="1"/>
      <name val="Cambria"/>
      <family val="1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00">
    <xf numFmtId="0" fontId="0" fillId="0" borderId="0" xfId="0"/>
    <xf numFmtId="164" fontId="2" fillId="0" borderId="0" xfId="1" applyNumberFormat="1" applyFont="1" applyFill="1" applyAlignment="1">
      <alignment vertical="center"/>
    </xf>
    <xf numFmtId="164" fontId="6" fillId="2" borderId="0" xfId="1" applyNumberFormat="1" applyFont="1" applyFill="1" applyAlignment="1">
      <alignment vertical="center"/>
    </xf>
    <xf numFmtId="164" fontId="7" fillId="0" borderId="0" xfId="1" applyNumberFormat="1" applyFont="1" applyFill="1" applyBorder="1" applyAlignment="1">
      <alignment horizontal="left" vertical="center"/>
    </xf>
    <xf numFmtId="164" fontId="6" fillId="0" borderId="0" xfId="1" applyNumberFormat="1" applyFont="1" applyFill="1" applyAlignment="1">
      <alignment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6" fillId="0" borderId="0" xfId="1" applyNumberFormat="1" applyFont="1" applyFill="1" applyAlignment="1">
      <alignment horizontal="left" vertical="center"/>
    </xf>
    <xf numFmtId="164" fontId="8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vertical="center"/>
    </xf>
    <xf numFmtId="164" fontId="7" fillId="2" borderId="14" xfId="1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9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left" vertical="center"/>
    </xf>
    <xf numFmtId="164" fontId="6" fillId="0" borderId="0" xfId="1" applyNumberFormat="1" applyFont="1" applyFill="1" applyAlignment="1">
      <alignment horizontal="center" vertical="center"/>
    </xf>
    <xf numFmtId="37" fontId="6" fillId="0" borderId="18" xfId="1" applyNumberFormat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left" vertical="center" wrapText="1"/>
    </xf>
    <xf numFmtId="37" fontId="7" fillId="0" borderId="15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Alignment="1">
      <alignment horizontal="left" vertical="center"/>
    </xf>
    <xf numFmtId="164" fontId="4" fillId="0" borderId="0" xfId="1" applyNumberFormat="1" applyFont="1" applyFill="1" applyAlignment="1">
      <alignment horizontal="left" vertical="center"/>
    </xf>
    <xf numFmtId="164" fontId="4" fillId="0" borderId="0" xfId="1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64" fontId="4" fillId="0" borderId="15" xfId="1" applyNumberFormat="1" applyFont="1" applyFill="1" applyBorder="1" applyAlignment="1">
      <alignment horizontal="left" vertical="center"/>
    </xf>
    <xf numFmtId="37" fontId="4" fillId="0" borderId="15" xfId="1" applyNumberFormat="1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left" vertical="center"/>
    </xf>
    <xf numFmtId="164" fontId="4" fillId="0" borderId="16" xfId="1" applyNumberFormat="1" applyFont="1" applyFill="1" applyBorder="1" applyAlignment="1">
      <alignment horizontal="left" vertical="center"/>
    </xf>
    <xf numFmtId="37" fontId="4" fillId="0" borderId="16" xfId="1" applyNumberFormat="1" applyFont="1" applyFill="1" applyBorder="1" applyAlignment="1">
      <alignment horizontal="center" vertical="center"/>
    </xf>
    <xf numFmtId="43" fontId="4" fillId="0" borderId="16" xfId="1" applyFont="1" applyFill="1" applyBorder="1" applyAlignment="1">
      <alignment horizontal="center" vertical="center"/>
    </xf>
    <xf numFmtId="43" fontId="4" fillId="0" borderId="16" xfId="1" applyFont="1" applyFill="1" applyBorder="1" applyAlignment="1">
      <alignment horizontal="right" vertical="center"/>
    </xf>
    <xf numFmtId="4" fontId="4" fillId="0" borderId="16" xfId="1" applyNumberFormat="1" applyFont="1" applyFill="1" applyBorder="1" applyAlignment="1">
      <alignment horizontal="left" vertical="center" wrapText="1"/>
    </xf>
    <xf numFmtId="164" fontId="2" fillId="0" borderId="11" xfId="1" applyNumberFormat="1" applyFont="1" applyFill="1" applyBorder="1" applyAlignment="1">
      <alignment horizontal="left" vertical="center" indent="2"/>
    </xf>
    <xf numFmtId="164" fontId="2" fillId="0" borderId="11" xfId="1" applyNumberFormat="1" applyFont="1" applyFill="1" applyBorder="1" applyAlignment="1">
      <alignment horizontal="left" vertical="center"/>
    </xf>
    <xf numFmtId="164" fontId="2" fillId="0" borderId="12" xfId="1" applyNumberFormat="1" applyFont="1" applyFill="1" applyBorder="1" applyAlignment="1">
      <alignment horizontal="left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6" xfId="1" applyFont="1" applyFill="1" applyBorder="1" applyAlignment="1">
      <alignment horizontal="right" vertical="center"/>
    </xf>
    <xf numFmtId="43" fontId="2" fillId="0" borderId="16" xfId="1" applyNumberFormat="1" applyFont="1" applyFill="1" applyBorder="1" applyAlignment="1">
      <alignment horizontal="left" vertical="center"/>
    </xf>
    <xf numFmtId="43" fontId="2" fillId="0" borderId="19" xfId="1" applyNumberFormat="1" applyFont="1" applyFill="1" applyBorder="1" applyAlignment="1">
      <alignment horizontal="left" vertical="center"/>
    </xf>
    <xf numFmtId="43" fontId="2" fillId="0" borderId="18" xfId="1" applyFont="1" applyFill="1" applyBorder="1" applyAlignment="1">
      <alignment horizontal="right" vertical="center"/>
    </xf>
    <xf numFmtId="164" fontId="2" fillId="0" borderId="20" xfId="1" applyNumberFormat="1" applyFont="1" applyFill="1" applyBorder="1" applyAlignment="1">
      <alignment horizontal="left" vertical="center" indent="2"/>
    </xf>
    <xf numFmtId="164" fontId="2" fillId="2" borderId="16" xfId="1" applyNumberFormat="1" applyFont="1" applyFill="1" applyBorder="1" applyAlignment="1">
      <alignment horizontal="left" vertical="center"/>
    </xf>
    <xf numFmtId="43" fontId="2" fillId="2" borderId="16" xfId="1" applyFont="1" applyFill="1" applyBorder="1" applyAlignment="1">
      <alignment horizontal="right" vertical="center"/>
    </xf>
    <xf numFmtId="164" fontId="2" fillId="2" borderId="16" xfId="1" applyNumberFormat="1" applyFont="1" applyFill="1" applyBorder="1" applyAlignment="1">
      <alignment horizontal="left" vertical="center" indent="2"/>
    </xf>
    <xf numFmtId="164" fontId="2" fillId="2" borderId="16" xfId="1" applyNumberFormat="1" applyFont="1" applyFill="1" applyBorder="1" applyAlignment="1">
      <alignment horizontal="left" vertical="center" wrapText="1" indent="2"/>
    </xf>
    <xf numFmtId="164" fontId="4" fillId="2" borderId="14" xfId="1" applyNumberFormat="1" applyFont="1" applyFill="1" applyBorder="1" applyAlignment="1">
      <alignment horizontal="center" vertical="center"/>
    </xf>
    <xf numFmtId="164" fontId="4" fillId="2" borderId="14" xfId="1" applyNumberFormat="1" applyFont="1" applyFill="1" applyBorder="1" applyAlignment="1">
      <alignment horizontal="left" vertical="center"/>
    </xf>
    <xf numFmtId="37" fontId="4" fillId="2" borderId="14" xfId="1" applyNumberFormat="1" applyFont="1" applyFill="1" applyBorder="1" applyAlignment="1">
      <alignment horizontal="center" vertical="center"/>
    </xf>
    <xf numFmtId="43" fontId="4" fillId="2" borderId="14" xfId="1" applyFont="1" applyFill="1" applyBorder="1" applyAlignment="1">
      <alignment horizontal="center" vertical="center"/>
    </xf>
    <xf numFmtId="43" fontId="4" fillId="2" borderId="14" xfId="1" applyFont="1" applyFill="1" applyBorder="1" applyAlignment="1">
      <alignment horizontal="left" vertical="center"/>
    </xf>
    <xf numFmtId="164" fontId="4" fillId="2" borderId="0" xfId="1" applyNumberFormat="1" applyFont="1" applyFill="1" applyAlignment="1">
      <alignment vertical="center"/>
    </xf>
    <xf numFmtId="164" fontId="2" fillId="2" borderId="16" xfId="1" applyNumberFormat="1" applyFont="1" applyFill="1" applyBorder="1" applyAlignment="1">
      <alignment horizontal="left" vertical="center" wrapText="1"/>
    </xf>
    <xf numFmtId="164" fontId="4" fillId="2" borderId="16" xfId="1" applyNumberFormat="1" applyFont="1" applyFill="1" applyBorder="1" applyAlignment="1">
      <alignment horizontal="left" vertical="center"/>
    </xf>
    <xf numFmtId="43" fontId="4" fillId="2" borderId="16" xfId="1" applyFont="1" applyFill="1" applyBorder="1" applyAlignment="1">
      <alignment horizontal="center" vertical="center"/>
    </xf>
    <xf numFmtId="43" fontId="4" fillId="2" borderId="16" xfId="1" applyFont="1" applyFill="1" applyBorder="1" applyAlignment="1">
      <alignment horizontal="right" vertical="center"/>
    </xf>
    <xf numFmtId="43" fontId="4" fillId="2" borderId="16" xfId="1" applyNumberFormat="1" applyFont="1" applyFill="1" applyBorder="1" applyAlignment="1">
      <alignment horizontal="left" vertical="center"/>
    </xf>
    <xf numFmtId="164" fontId="12" fillId="2" borderId="16" xfId="1" applyNumberFormat="1" applyFont="1" applyFill="1" applyBorder="1" applyAlignment="1">
      <alignment horizontal="left" vertical="center" wrapText="1"/>
    </xf>
    <xf numFmtId="37" fontId="7" fillId="2" borderId="18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left" vertical="center" wrapText="1" indent="1"/>
    </xf>
    <xf numFmtId="164" fontId="2" fillId="2" borderId="11" xfId="1" applyNumberFormat="1" applyFont="1" applyFill="1" applyBorder="1" applyAlignment="1">
      <alignment horizontal="left" vertical="center"/>
    </xf>
    <xf numFmtId="43" fontId="2" fillId="2" borderId="16" xfId="1" applyNumberFormat="1" applyFont="1" applyFill="1" applyBorder="1" applyAlignment="1">
      <alignment horizontal="left" vertical="center"/>
    </xf>
    <xf numFmtId="37" fontId="6" fillId="2" borderId="18" xfId="1" applyNumberFormat="1" applyFont="1" applyFill="1" applyBorder="1" applyAlignment="1">
      <alignment horizontal="center" vertical="center"/>
    </xf>
    <xf numFmtId="43" fontId="13" fillId="2" borderId="16" xfId="1" applyFont="1" applyFill="1" applyBorder="1" applyAlignment="1">
      <alignment horizontal="center" vertical="center"/>
    </xf>
    <xf numFmtId="43" fontId="13" fillId="2" borderId="16" xfId="1" applyFont="1" applyFill="1" applyBorder="1" applyAlignment="1">
      <alignment horizontal="right" vertical="center"/>
    </xf>
    <xf numFmtId="164" fontId="14" fillId="2" borderId="16" xfId="1" applyNumberFormat="1" applyFont="1" applyFill="1" applyBorder="1" applyAlignment="1">
      <alignment horizontal="left" vertical="center" wrapText="1"/>
    </xf>
    <xf numFmtId="164" fontId="5" fillId="2" borderId="16" xfId="1" applyNumberFormat="1" applyFont="1" applyFill="1" applyBorder="1" applyAlignment="1">
      <alignment horizontal="left" vertical="center" wrapText="1"/>
    </xf>
    <xf numFmtId="37" fontId="2" fillId="2" borderId="16" xfId="1" applyNumberFormat="1" applyFont="1" applyFill="1" applyBorder="1" applyAlignment="1">
      <alignment horizontal="center" vertical="center"/>
    </xf>
    <xf numFmtId="43" fontId="2" fillId="2" borderId="16" xfId="1" applyFont="1" applyFill="1" applyBorder="1" applyAlignment="1">
      <alignment horizontal="center" vertical="center"/>
    </xf>
    <xf numFmtId="4" fontId="6" fillId="2" borderId="16" xfId="1" applyNumberFormat="1" applyFont="1" applyFill="1" applyBorder="1" applyAlignment="1">
      <alignment horizontal="left" vertical="center" wrapText="1"/>
    </xf>
    <xf numFmtId="164" fontId="4" fillId="2" borderId="16" xfId="1" applyNumberFormat="1" applyFont="1" applyFill="1" applyBorder="1" applyAlignment="1">
      <alignment horizontal="center" vertical="center"/>
    </xf>
    <xf numFmtId="37" fontId="6" fillId="2" borderId="16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Alignment="1">
      <alignment horizontal="left" vertical="center"/>
    </xf>
    <xf numFmtId="164" fontId="2" fillId="2" borderId="17" xfId="1" applyNumberFormat="1" applyFont="1" applyFill="1" applyBorder="1" applyAlignment="1">
      <alignment horizontal="left" vertical="center" indent="2"/>
    </xf>
    <xf numFmtId="164" fontId="2" fillId="2" borderId="17" xfId="1" applyNumberFormat="1" applyFont="1" applyFill="1" applyBorder="1" applyAlignment="1">
      <alignment horizontal="left" vertical="center"/>
    </xf>
    <xf numFmtId="37" fontId="2" fillId="2" borderId="17" xfId="1" applyNumberFormat="1" applyFont="1" applyFill="1" applyBorder="1" applyAlignment="1">
      <alignment horizontal="center" vertical="center"/>
    </xf>
    <xf numFmtId="43" fontId="2" fillId="2" borderId="17" xfId="1" applyFont="1" applyFill="1" applyBorder="1" applyAlignment="1">
      <alignment horizontal="center" vertical="center"/>
    </xf>
    <xf numFmtId="43" fontId="2" fillId="2" borderId="17" xfId="1" applyFont="1" applyFill="1" applyBorder="1" applyAlignment="1">
      <alignment horizontal="right" vertical="center"/>
    </xf>
    <xf numFmtId="4" fontId="6" fillId="2" borderId="21" xfId="1" applyNumberFormat="1" applyFont="1" applyFill="1" applyBorder="1" applyAlignment="1">
      <alignment horizontal="left" vertical="center" wrapText="1"/>
    </xf>
    <xf numFmtId="37" fontId="6" fillId="2" borderId="17" xfId="1" applyNumberFormat="1" applyFont="1" applyFill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vertical="center" wrapText="1"/>
    </xf>
    <xf numFmtId="9" fontId="15" fillId="0" borderId="0" xfId="3" applyFont="1" applyAlignment="1">
      <alignment vertical="center"/>
    </xf>
    <xf numFmtId="164" fontId="15" fillId="0" borderId="0" xfId="4" applyNumberFormat="1" applyFont="1" applyAlignment="1">
      <alignment vertical="center"/>
    </xf>
    <xf numFmtId="0" fontId="15" fillId="0" borderId="0" xfId="2" applyFont="1" applyAlignment="1">
      <alignment horizontal="center" vertical="center"/>
    </xf>
    <xf numFmtId="164" fontId="17" fillId="0" borderId="22" xfId="4" applyNumberFormat="1" applyFont="1" applyFill="1" applyBorder="1" applyAlignment="1">
      <alignment horizontal="center" vertical="center" wrapText="1"/>
    </xf>
    <xf numFmtId="164" fontId="17" fillId="0" borderId="22" xfId="4" applyNumberFormat="1" applyFont="1" applyFill="1" applyBorder="1" applyAlignment="1">
      <alignment vertical="center" wrapText="1"/>
    </xf>
    <xf numFmtId="0" fontId="16" fillId="3" borderId="23" xfId="2" applyFont="1" applyFill="1" applyBorder="1" applyAlignment="1">
      <alignment vertical="center" wrapText="1"/>
    </xf>
    <xf numFmtId="164" fontId="17" fillId="3" borderId="22" xfId="4" applyNumberFormat="1" applyFont="1" applyFill="1" applyBorder="1" applyAlignment="1">
      <alignment vertical="center" wrapText="1"/>
    </xf>
    <xf numFmtId="164" fontId="17" fillId="3" borderId="24" xfId="4" applyNumberFormat="1" applyFont="1" applyFill="1" applyBorder="1" applyAlignment="1">
      <alignment vertical="center" wrapText="1"/>
    </xf>
    <xf numFmtId="0" fontId="16" fillId="4" borderId="23" xfId="2" applyFont="1" applyFill="1" applyBorder="1" applyAlignment="1">
      <alignment vertical="center" wrapText="1"/>
    </xf>
    <xf numFmtId="9" fontId="16" fillId="4" borderId="22" xfId="3" applyFont="1" applyFill="1" applyBorder="1" applyAlignment="1">
      <alignment vertical="center"/>
    </xf>
    <xf numFmtId="164" fontId="17" fillId="4" borderId="22" xfId="4" applyNumberFormat="1" applyFont="1" applyFill="1" applyBorder="1" applyAlignment="1">
      <alignment vertical="center" wrapText="1"/>
    </xf>
    <xf numFmtId="0" fontId="20" fillId="0" borderId="0" xfId="2" applyFont="1" applyAlignment="1">
      <alignment vertical="center"/>
    </xf>
    <xf numFmtId="9" fontId="22" fillId="0" borderId="0" xfId="3" applyFont="1" applyAlignment="1">
      <alignment vertical="center"/>
    </xf>
    <xf numFmtId="0" fontId="22" fillId="0" borderId="0" xfId="2" applyFont="1" applyAlignment="1">
      <alignment vertical="center"/>
    </xf>
    <xf numFmtId="164" fontId="22" fillId="0" borderId="0" xfId="4" applyNumberFormat="1" applyFont="1" applyAlignment="1">
      <alignment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23" fillId="0" borderId="0" xfId="2" applyFont="1" applyAlignment="1">
      <alignment vertical="center" wrapText="1"/>
    </xf>
    <xf numFmtId="9" fontId="24" fillId="0" borderId="0" xfId="3" applyFont="1" applyAlignment="1">
      <alignment vertical="center"/>
    </xf>
    <xf numFmtId="0" fontId="24" fillId="0" borderId="0" xfId="2" applyFont="1" applyAlignment="1">
      <alignment vertical="center"/>
    </xf>
    <xf numFmtId="164" fontId="24" fillId="0" borderId="0" xfId="4" applyNumberFormat="1" applyFont="1" applyAlignment="1">
      <alignment vertical="center"/>
    </xf>
    <xf numFmtId="0" fontId="24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9" fontId="25" fillId="0" borderId="0" xfId="3" applyFont="1" applyAlignment="1">
      <alignment vertical="center"/>
    </xf>
    <xf numFmtId="0" fontId="25" fillId="0" borderId="0" xfId="2" applyFont="1" applyAlignment="1">
      <alignment vertical="center"/>
    </xf>
    <xf numFmtId="164" fontId="25" fillId="0" borderId="0" xfId="4" applyNumberFormat="1" applyFont="1" applyAlignment="1">
      <alignment vertical="center"/>
    </xf>
    <xf numFmtId="0" fontId="25" fillId="0" borderId="0" xfId="2" applyFont="1" applyAlignment="1">
      <alignment horizontal="center" vertical="center"/>
    </xf>
    <xf numFmtId="0" fontId="26" fillId="0" borderId="0" xfId="2" applyFont="1" applyAlignment="1">
      <alignment vertical="center"/>
    </xf>
    <xf numFmtId="164" fontId="16" fillId="0" borderId="22" xfId="4" applyNumberFormat="1" applyFont="1" applyFill="1" applyBorder="1" applyAlignment="1">
      <alignment horizontal="center" vertical="center" wrapText="1"/>
    </xf>
    <xf numFmtId="164" fontId="17" fillId="0" borderId="22" xfId="6" applyNumberFormat="1" applyFont="1" applyFill="1" applyBorder="1" applyAlignment="1" applyProtection="1">
      <alignment vertical="center" wrapText="1"/>
    </xf>
    <xf numFmtId="164" fontId="17" fillId="0" borderId="22" xfId="4" applyNumberFormat="1" applyFont="1" applyBorder="1" applyAlignment="1">
      <alignment vertical="center"/>
    </xf>
    <xf numFmtId="164" fontId="17" fillId="4" borderId="22" xfId="4" applyNumberFormat="1" applyFont="1" applyFill="1" applyBorder="1" applyAlignment="1">
      <alignment vertical="center"/>
    </xf>
    <xf numFmtId="9" fontId="17" fillId="4" borderId="22" xfId="3" applyFont="1" applyFill="1" applyBorder="1" applyAlignment="1">
      <alignment vertical="center"/>
    </xf>
    <xf numFmtId="164" fontId="17" fillId="3" borderId="22" xfId="4" applyNumberFormat="1" applyFont="1" applyFill="1" applyBorder="1" applyAlignment="1">
      <alignment vertical="center"/>
    </xf>
    <xf numFmtId="9" fontId="17" fillId="3" borderId="22" xfId="3" applyFont="1" applyFill="1" applyBorder="1" applyAlignment="1">
      <alignment vertical="center"/>
    </xf>
    <xf numFmtId="9" fontId="17" fillId="2" borderId="22" xfId="3" applyFont="1" applyFill="1" applyBorder="1" applyAlignment="1">
      <alignment vertical="center"/>
    </xf>
    <xf numFmtId="0" fontId="31" fillId="0" borderId="0" xfId="0" applyFont="1" applyAlignment="1">
      <alignment vertical="top"/>
    </xf>
    <xf numFmtId="0" fontId="31" fillId="0" borderId="0" xfId="0" applyFont="1"/>
    <xf numFmtId="0" fontId="0" fillId="0" borderId="0" xfId="0"/>
    <xf numFmtId="164" fontId="17" fillId="0" borderId="22" xfId="4" applyNumberFormat="1" applyFont="1" applyFill="1" applyBorder="1" applyAlignment="1">
      <alignment vertical="center"/>
    </xf>
    <xf numFmtId="9" fontId="17" fillId="0" borderId="22" xfId="3" applyFont="1" applyFill="1" applyBorder="1" applyAlignment="1">
      <alignment vertical="center"/>
    </xf>
    <xf numFmtId="164" fontId="16" fillId="0" borderId="22" xfId="5" applyNumberFormat="1" applyFont="1" applyFill="1" applyBorder="1" applyAlignment="1">
      <alignment vertical="center"/>
    </xf>
    <xf numFmtId="164" fontId="16" fillId="0" borderId="22" xfId="4" applyNumberFormat="1" applyFont="1" applyFill="1" applyBorder="1" applyAlignment="1">
      <alignment vertical="center"/>
    </xf>
    <xf numFmtId="9" fontId="16" fillId="0" borderId="22" xfId="3" applyFont="1" applyFill="1" applyBorder="1" applyAlignment="1">
      <alignment vertical="center"/>
    </xf>
    <xf numFmtId="164" fontId="16" fillId="0" borderId="22" xfId="7" applyNumberFormat="1" applyFont="1" applyFill="1" applyBorder="1" applyAlignment="1">
      <alignment horizontal="right" vertical="center" wrapText="1" shrinkToFit="1"/>
    </xf>
    <xf numFmtId="43" fontId="17" fillId="0" borderId="22" xfId="0" applyNumberFormat="1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43" fontId="34" fillId="0" borderId="0" xfId="0" applyNumberFormat="1" applyFont="1"/>
    <xf numFmtId="0" fontId="34" fillId="0" borderId="22" xfId="0" applyFont="1" applyBorder="1"/>
    <xf numFmtId="0" fontId="36" fillId="12" borderId="22" xfId="0" applyFont="1" applyFill="1" applyBorder="1"/>
    <xf numFmtId="164" fontId="36" fillId="12" borderId="22" xfId="1" applyNumberFormat="1" applyFont="1" applyFill="1" applyBorder="1"/>
    <xf numFmtId="0" fontId="36" fillId="13" borderId="22" xfId="0" applyFont="1" applyFill="1" applyBorder="1" applyAlignment="1">
      <alignment horizontal="left" vertical="center" wrapText="1"/>
    </xf>
    <xf numFmtId="0" fontId="27" fillId="0" borderId="0" xfId="0" applyFont="1" applyFill="1"/>
    <xf numFmtId="0" fontId="29" fillId="0" borderId="0" xfId="0" applyFont="1"/>
    <xf numFmtId="0" fontId="28" fillId="12" borderId="22" xfId="0" applyFont="1" applyFill="1" applyBorder="1" applyAlignment="1">
      <alignment horizontal="left" wrapText="1" indent="2"/>
    </xf>
    <xf numFmtId="0" fontId="28" fillId="12" borderId="22" xfId="0" applyFont="1" applyFill="1" applyBorder="1"/>
    <xf numFmtId="164" fontId="28" fillId="12" borderId="22" xfId="1" applyNumberFormat="1" applyFont="1" applyFill="1" applyBorder="1"/>
    <xf numFmtId="0" fontId="45" fillId="0" borderId="0" xfId="0" applyFont="1"/>
    <xf numFmtId="167" fontId="45" fillId="0" borderId="0" xfId="1" applyNumberFormat="1" applyFont="1"/>
    <xf numFmtId="43" fontId="46" fillId="0" borderId="0" xfId="1" applyFont="1"/>
    <xf numFmtId="0" fontId="47" fillId="0" borderId="0" xfId="0" applyFont="1"/>
    <xf numFmtId="167" fontId="47" fillId="0" borderId="0" xfId="1" applyNumberFormat="1" applyFont="1"/>
    <xf numFmtId="164" fontId="48" fillId="0" borderId="0" xfId="1" applyNumberFormat="1" applyFont="1" applyFill="1" applyBorder="1" applyAlignment="1"/>
    <xf numFmtId="0" fontId="49" fillId="0" borderId="0" xfId="0" applyFont="1"/>
    <xf numFmtId="43" fontId="50" fillId="0" borderId="0" xfId="1" applyFont="1" applyBorder="1" applyAlignment="1">
      <alignment vertical="center"/>
    </xf>
    <xf numFmtId="0" fontId="29" fillId="0" borderId="0" xfId="0" applyFont="1" applyAlignment="1">
      <alignment vertical="top"/>
    </xf>
    <xf numFmtId="0" fontId="32" fillId="0" borderId="0" xfId="0" applyFont="1" applyAlignment="1">
      <alignment horizontal="left" vertical="center"/>
    </xf>
    <xf numFmtId="0" fontId="41" fillId="0" borderId="0" xfId="0" applyFont="1" applyAlignment="1">
      <alignment vertical="top"/>
    </xf>
    <xf numFmtId="0" fontId="41" fillId="0" borderId="0" xfId="0" applyFont="1"/>
    <xf numFmtId="0" fontId="41" fillId="0" borderId="0" xfId="0" applyFont="1" applyAlignment="1">
      <alignment horizontal="center"/>
    </xf>
    <xf numFmtId="164" fontId="12" fillId="0" borderId="0" xfId="1" applyNumberFormat="1" applyFont="1" applyFill="1" applyBorder="1" applyAlignment="1"/>
    <xf numFmtId="0" fontId="51" fillId="0" borderId="0" xfId="0" applyFont="1"/>
    <xf numFmtId="43" fontId="43" fillId="0" borderId="0" xfId="1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6" fillId="0" borderId="40" xfId="0" applyFont="1" applyBorder="1" applyAlignment="1">
      <alignment vertical="center"/>
    </xf>
    <xf numFmtId="0" fontId="36" fillId="0" borderId="39" xfId="0" applyFont="1" applyBorder="1" applyAlignment="1">
      <alignment vertical="center"/>
    </xf>
    <xf numFmtId="0" fontId="34" fillId="0" borderId="36" xfId="0" applyFont="1" applyBorder="1"/>
    <xf numFmtId="0" fontId="52" fillId="0" borderId="0" xfId="0" applyFont="1"/>
    <xf numFmtId="0" fontId="27" fillId="0" borderId="0" xfId="0" applyFont="1"/>
    <xf numFmtId="165" fontId="27" fillId="0" borderId="0" xfId="0" applyNumberFormat="1" applyFont="1" applyAlignment="1"/>
    <xf numFmtId="0" fontId="27" fillId="0" borderId="0" xfId="0" applyFont="1" applyAlignment="1"/>
    <xf numFmtId="164" fontId="17" fillId="0" borderId="22" xfId="5" applyNumberFormat="1" applyFont="1" applyFill="1" applyBorder="1" applyAlignment="1"/>
    <xf numFmtId="164" fontId="17" fillId="0" borderId="22" xfId="5" applyNumberFormat="1" applyFont="1" applyFill="1" applyBorder="1" applyAlignment="1">
      <alignment vertical="center"/>
    </xf>
    <xf numFmtId="164" fontId="17" fillId="0" borderId="22" xfId="7" applyNumberFormat="1" applyFont="1" applyFill="1" applyBorder="1" applyAlignment="1">
      <alignment horizontal="right" vertical="center" wrapText="1" shrinkToFit="1"/>
    </xf>
    <xf numFmtId="0" fontId="17" fillId="0" borderId="22" xfId="0" applyFont="1" applyFill="1" applyBorder="1" applyAlignment="1">
      <alignment horizontal="left" indent="2"/>
    </xf>
    <xf numFmtId="165" fontId="17" fillId="0" borderId="22" xfId="1" applyNumberFormat="1" applyFont="1" applyFill="1" applyBorder="1" applyAlignment="1">
      <alignment horizontal="right" vertical="center"/>
    </xf>
    <xf numFmtId="43" fontId="17" fillId="0" borderId="22" xfId="1" applyNumberFormat="1" applyFont="1" applyFill="1" applyBorder="1" applyAlignment="1">
      <alignment horizontal="right" vertical="center"/>
    </xf>
    <xf numFmtId="0" fontId="27" fillId="0" borderId="26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53" fillId="0" borderId="0" xfId="0" applyFont="1" applyFill="1"/>
    <xf numFmtId="0" fontId="33" fillId="0" borderId="0" xfId="0" applyFont="1" applyFill="1"/>
    <xf numFmtId="0" fontId="5" fillId="0" borderId="22" xfId="0" applyFont="1" applyFill="1" applyBorder="1" applyAlignment="1">
      <alignment horizontal="left" indent="2"/>
    </xf>
    <xf numFmtId="164" fontId="5" fillId="0" borderId="22" xfId="4" applyNumberFormat="1" applyFont="1" applyFill="1" applyBorder="1" applyAlignment="1">
      <alignment horizontal="center" vertical="center" wrapText="1"/>
    </xf>
    <xf numFmtId="9" fontId="5" fillId="0" borderId="22" xfId="3" applyFont="1" applyFill="1" applyBorder="1" applyAlignment="1">
      <alignment vertical="center"/>
    </xf>
    <xf numFmtId="43" fontId="5" fillId="0" borderId="22" xfId="1" applyNumberFormat="1" applyFont="1" applyFill="1" applyBorder="1" applyAlignment="1">
      <alignment horizontal="right" vertical="center"/>
    </xf>
    <xf numFmtId="0" fontId="17" fillId="0" borderId="22" xfId="2" applyFont="1" applyBorder="1" applyAlignment="1">
      <alignment vertical="center" wrapText="1"/>
    </xf>
    <xf numFmtId="0" fontId="36" fillId="11" borderId="40" xfId="0" applyFont="1" applyFill="1" applyBorder="1" applyAlignment="1">
      <alignment vertical="top"/>
    </xf>
    <xf numFmtId="0" fontId="11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46" fillId="0" borderId="0" xfId="0" applyFont="1"/>
    <xf numFmtId="0" fontId="62" fillId="0" borderId="0" xfId="0" applyFont="1"/>
    <xf numFmtId="0" fontId="63" fillId="0" borderId="0" xfId="0" applyFont="1"/>
    <xf numFmtId="0" fontId="36" fillId="0" borderId="0" xfId="0" applyFont="1"/>
    <xf numFmtId="49" fontId="16" fillId="0" borderId="22" xfId="3" applyNumberFormat="1" applyFont="1" applyBorder="1" applyAlignment="1">
      <alignment vertical="center"/>
    </xf>
    <xf numFmtId="49" fontId="16" fillId="0" borderId="22" xfId="3" applyNumberFormat="1" applyFont="1" applyFill="1" applyBorder="1" applyAlignment="1">
      <alignment vertical="center"/>
    </xf>
    <xf numFmtId="164" fontId="17" fillId="4" borderId="22" xfId="4" applyNumberFormat="1" applyFont="1" applyFill="1" applyBorder="1" applyAlignment="1">
      <alignment horizontal="left" vertical="center" wrapText="1" indent="2"/>
    </xf>
    <xf numFmtId="164" fontId="17" fillId="0" borderId="22" xfId="4" applyNumberFormat="1" applyFont="1" applyFill="1" applyBorder="1" applyAlignment="1">
      <alignment wrapText="1"/>
    </xf>
    <xf numFmtId="164" fontId="16" fillId="0" borderId="22" xfId="4" applyNumberFormat="1" applyFont="1" applyFill="1" applyBorder="1" applyAlignment="1">
      <alignment wrapText="1"/>
    </xf>
    <xf numFmtId="164" fontId="16" fillId="0" borderId="22" xfId="5" applyNumberFormat="1" applyFont="1" applyFill="1" applyBorder="1" applyAlignment="1"/>
    <xf numFmtId="0" fontId="64" fillId="0" borderId="0" xfId="0" applyFont="1"/>
    <xf numFmtId="0" fontId="0" fillId="0" borderId="0" xfId="0" applyAlignment="1">
      <alignment vertical="center"/>
    </xf>
    <xf numFmtId="43" fontId="36" fillId="12" borderId="22" xfId="1" applyNumberFormat="1" applyFont="1" applyFill="1" applyBorder="1" applyAlignment="1">
      <alignment vertical="center"/>
    </xf>
    <xf numFmtId="43" fontId="36" fillId="12" borderId="36" xfId="1" applyNumberFormat="1" applyFont="1" applyFill="1" applyBorder="1"/>
    <xf numFmtId="43" fontId="28" fillId="12" borderId="36" xfId="1" applyNumberFormat="1" applyFont="1" applyFill="1" applyBorder="1"/>
    <xf numFmtId="164" fontId="62" fillId="0" borderId="0" xfId="1" applyNumberFormat="1" applyFont="1" applyFill="1" applyBorder="1" applyAlignment="1"/>
    <xf numFmtId="43" fontId="63" fillId="0" borderId="0" xfId="1" applyFont="1" applyBorder="1" applyAlignment="1">
      <alignment vertical="center"/>
    </xf>
    <xf numFmtId="0" fontId="0" fillId="0" borderId="0" xfId="0" applyFont="1"/>
    <xf numFmtId="164" fontId="29" fillId="0" borderId="0" xfId="1" applyNumberFormat="1" applyFont="1" applyFill="1" applyBorder="1" applyAlignment="1"/>
    <xf numFmtId="43" fontId="41" fillId="0" borderId="0" xfId="1" applyFont="1" applyBorder="1" applyAlignment="1">
      <alignment vertical="center"/>
    </xf>
    <xf numFmtId="165" fontId="17" fillId="0" borderId="22" xfId="1" applyNumberFormat="1" applyFont="1" applyFill="1" applyBorder="1" applyAlignment="1">
      <alignment vertical="center"/>
    </xf>
    <xf numFmtId="165" fontId="5" fillId="0" borderId="22" xfId="1" applyNumberFormat="1" applyFont="1" applyFill="1" applyBorder="1" applyAlignment="1">
      <alignment vertical="center"/>
    </xf>
    <xf numFmtId="164" fontId="36" fillId="12" borderId="22" xfId="1" applyNumberFormat="1" applyFont="1" applyFill="1" applyBorder="1" applyAlignment="1">
      <alignment vertical="center"/>
    </xf>
    <xf numFmtId="43" fontId="36" fillId="12" borderId="22" xfId="1" applyNumberFormat="1" applyFont="1" applyFill="1" applyBorder="1" applyAlignment="1">
      <alignment vertical="center"/>
    </xf>
    <xf numFmtId="0" fontId="28" fillId="12" borderId="22" xfId="0" applyFont="1" applyFill="1" applyBorder="1" applyAlignment="1">
      <alignment vertical="center"/>
    </xf>
    <xf numFmtId="164" fontId="28" fillId="12" borderId="22" xfId="1" applyNumberFormat="1" applyFont="1" applyFill="1" applyBorder="1" applyAlignment="1">
      <alignment vertical="center"/>
    </xf>
    <xf numFmtId="43" fontId="28" fillId="12" borderId="22" xfId="1" applyNumberFormat="1" applyFont="1" applyFill="1" applyBorder="1" applyAlignment="1">
      <alignment vertical="center"/>
    </xf>
    <xf numFmtId="0" fontId="68" fillId="0" borderId="22" xfId="0" applyFont="1" applyBorder="1" applyAlignment="1">
      <alignment horizontal="left"/>
    </xf>
    <xf numFmtId="164" fontId="69" fillId="0" borderId="22" xfId="4" applyNumberFormat="1" applyFont="1" applyBorder="1" applyAlignment="1">
      <alignment vertical="center"/>
    </xf>
    <xf numFmtId="0" fontId="66" fillId="0" borderId="22" xfId="0" applyFont="1" applyBorder="1" applyAlignment="1">
      <alignment horizontal="left" indent="2"/>
    </xf>
    <xf numFmtId="0" fontId="65" fillId="0" borderId="22" xfId="0" applyFont="1" applyBorder="1" applyAlignment="1">
      <alignment vertical="center"/>
    </xf>
    <xf numFmtId="165" fontId="65" fillId="0" borderId="22" xfId="0" applyNumberFormat="1" applyFont="1" applyBorder="1" applyAlignment="1">
      <alignment vertical="center"/>
    </xf>
    <xf numFmtId="164" fontId="66" fillId="0" borderId="22" xfId="1" applyNumberFormat="1" applyFont="1" applyFill="1" applyBorder="1" applyAlignment="1">
      <alignment vertical="center"/>
    </xf>
    <xf numFmtId="165" fontId="67" fillId="0" borderId="22" xfId="1" applyNumberFormat="1" applyFont="1" applyBorder="1" applyAlignment="1">
      <alignment vertical="center"/>
    </xf>
    <xf numFmtId="43" fontId="66" fillId="0" borderId="22" xfId="1" applyFont="1" applyBorder="1" applyAlignment="1">
      <alignment vertical="center"/>
    </xf>
    <xf numFmtId="164" fontId="66" fillId="0" borderId="22" xfId="1" applyNumberFormat="1" applyFont="1" applyFill="1" applyBorder="1"/>
    <xf numFmtId="166" fontId="68" fillId="0" borderId="22" xfId="12" applyNumberFormat="1" applyFont="1" applyFill="1" applyBorder="1" applyAlignment="1" applyProtection="1">
      <alignment horizontal="center" vertical="center" wrapText="1"/>
    </xf>
    <xf numFmtId="166" fontId="68" fillId="0" borderId="22" xfId="12" applyNumberFormat="1" applyFont="1" applyFill="1" applyBorder="1" applyAlignment="1" applyProtection="1">
      <alignment horizontal="center" vertical="center"/>
    </xf>
    <xf numFmtId="165" fontId="68" fillId="0" borderId="22" xfId="1" applyNumberFormat="1" applyFont="1" applyFill="1" applyBorder="1" applyAlignment="1">
      <alignment horizontal="center" vertical="center"/>
    </xf>
    <xf numFmtId="164" fontId="68" fillId="0" borderId="22" xfId="1" applyNumberFormat="1" applyFont="1" applyFill="1" applyBorder="1" applyAlignment="1">
      <alignment horizontal="center" vertical="center"/>
    </xf>
    <xf numFmtId="43" fontId="68" fillId="0" borderId="22" xfId="1" applyFont="1" applyFill="1" applyBorder="1" applyAlignment="1">
      <alignment horizontal="center" vertical="center"/>
    </xf>
    <xf numFmtId="2" fontId="67" fillId="0" borderId="22" xfId="12" applyNumberFormat="1" applyFont="1" applyFill="1" applyBorder="1" applyAlignment="1" applyProtection="1">
      <alignment horizontal="left" vertical="top" wrapText="1"/>
    </xf>
    <xf numFmtId="164" fontId="68" fillId="0" borderId="22" xfId="1" applyNumberFormat="1" applyFont="1" applyFill="1" applyBorder="1" applyAlignment="1">
      <alignment vertical="center"/>
    </xf>
    <xf numFmtId="164" fontId="67" fillId="0" borderId="22" xfId="1" applyNumberFormat="1" applyFont="1" applyFill="1" applyBorder="1" applyAlignment="1">
      <alignment vertical="center"/>
    </xf>
    <xf numFmtId="43" fontId="67" fillId="0" borderId="22" xfId="1" applyFont="1" applyFill="1" applyBorder="1" applyAlignment="1">
      <alignment vertical="center"/>
    </xf>
    <xf numFmtId="164" fontId="67" fillId="0" borderId="22" xfId="1" applyNumberFormat="1" applyFont="1" applyFill="1" applyBorder="1"/>
    <xf numFmtId="2" fontId="67" fillId="0" borderId="22" xfId="12" applyNumberFormat="1" applyFont="1" applyFill="1" applyBorder="1" applyAlignment="1" applyProtection="1">
      <alignment horizontal="left" vertical="top" wrapText="1" indent="2"/>
    </xf>
    <xf numFmtId="166" fontId="67" fillId="0" borderId="22" xfId="12" applyNumberFormat="1" applyFont="1" applyFill="1" applyBorder="1" applyAlignment="1" applyProtection="1">
      <alignment horizontal="left" vertical="top" wrapText="1" indent="5"/>
    </xf>
    <xf numFmtId="165" fontId="68" fillId="0" borderId="22" xfId="1" applyNumberFormat="1" applyFont="1" applyBorder="1" applyAlignment="1">
      <alignment vertical="center"/>
    </xf>
    <xf numFmtId="43" fontId="68" fillId="0" borderId="22" xfId="1" applyFont="1" applyFill="1" applyBorder="1" applyAlignment="1">
      <alignment vertical="center"/>
    </xf>
    <xf numFmtId="166" fontId="68" fillId="0" borderId="22" xfId="12" applyNumberFormat="1" applyFont="1" applyFill="1" applyBorder="1" applyAlignment="1" applyProtection="1">
      <alignment horizontal="left" vertical="top" wrapText="1" indent="6"/>
    </xf>
    <xf numFmtId="165" fontId="68" fillId="0" borderId="22" xfId="1" applyNumberFormat="1" applyFont="1" applyFill="1" applyBorder="1" applyAlignment="1">
      <alignment vertical="center"/>
    </xf>
    <xf numFmtId="0" fontId="68" fillId="0" borderId="22" xfId="0" applyFont="1" applyFill="1" applyBorder="1" applyAlignment="1">
      <alignment vertical="center"/>
    </xf>
    <xf numFmtId="164" fontId="68" fillId="0" borderId="22" xfId="1" applyNumberFormat="1" applyFont="1" applyFill="1" applyBorder="1"/>
    <xf numFmtId="166" fontId="68" fillId="5" borderId="22" xfId="12" applyNumberFormat="1" applyFont="1" applyFill="1" applyBorder="1" applyAlignment="1" applyProtection="1">
      <alignment horizontal="center" vertical="center"/>
    </xf>
    <xf numFmtId="165" fontId="67" fillId="5" borderId="22" xfId="1" applyNumberFormat="1" applyFont="1" applyFill="1" applyBorder="1" applyAlignment="1">
      <alignment vertical="center"/>
    </xf>
    <xf numFmtId="164" fontId="67" fillId="5" borderId="22" xfId="1" applyNumberFormat="1" applyFont="1" applyFill="1" applyBorder="1" applyAlignment="1">
      <alignment vertical="center"/>
    </xf>
    <xf numFmtId="0" fontId="67" fillId="0" borderId="22" xfId="0" applyFont="1" applyBorder="1" applyAlignment="1">
      <alignment horizontal="left" indent="3"/>
    </xf>
    <xf numFmtId="0" fontId="68" fillId="0" borderId="22" xfId="0" applyFont="1" applyBorder="1" applyAlignment="1">
      <alignment vertical="center"/>
    </xf>
    <xf numFmtId="164" fontId="68" fillId="0" borderId="22" xfId="1" applyNumberFormat="1" applyFont="1" applyBorder="1" applyAlignment="1">
      <alignment vertical="center"/>
    </xf>
    <xf numFmtId="164" fontId="68" fillId="0" borderId="22" xfId="1" applyNumberFormat="1" applyFont="1" applyBorder="1"/>
    <xf numFmtId="0" fontId="67" fillId="0" borderId="22" xfId="0" applyFont="1" applyBorder="1" applyAlignment="1">
      <alignment horizontal="left" indent="5"/>
    </xf>
    <xf numFmtId="0" fontId="67" fillId="0" borderId="22" xfId="0" applyFont="1" applyBorder="1" applyAlignment="1">
      <alignment vertical="center"/>
    </xf>
    <xf numFmtId="164" fontId="67" fillId="0" borderId="22" xfId="1" applyNumberFormat="1" applyFont="1" applyBorder="1" applyAlignment="1">
      <alignment vertical="center"/>
    </xf>
    <xf numFmtId="3" fontId="68" fillId="0" borderId="22" xfId="0" applyNumberFormat="1" applyFont="1" applyBorder="1" applyAlignment="1">
      <alignment vertical="center"/>
    </xf>
    <xf numFmtId="0" fontId="68" fillId="7" borderId="22" xfId="0" applyFont="1" applyFill="1" applyBorder="1" applyAlignment="1">
      <alignment vertical="center"/>
    </xf>
    <xf numFmtId="165" fontId="68" fillId="7" borderId="22" xfId="1" applyNumberFormat="1" applyFont="1" applyFill="1" applyBorder="1" applyAlignment="1">
      <alignment vertical="center"/>
    </xf>
    <xf numFmtId="165" fontId="67" fillId="7" borderId="22" xfId="1" applyNumberFormat="1" applyFont="1" applyFill="1" applyBorder="1" applyAlignment="1">
      <alignment vertical="center"/>
    </xf>
    <xf numFmtId="166" fontId="67" fillId="0" borderId="22" xfId="12" applyNumberFormat="1" applyFont="1" applyFill="1" applyBorder="1" applyAlignment="1" applyProtection="1">
      <alignment horizontal="left" vertical="top" wrapText="1" indent="3"/>
    </xf>
    <xf numFmtId="165" fontId="67" fillId="0" borderId="22" xfId="1" applyNumberFormat="1" applyFont="1" applyFill="1" applyBorder="1" applyAlignment="1">
      <alignment vertical="center"/>
    </xf>
    <xf numFmtId="0" fontId="68" fillId="0" borderId="22" xfId="12" applyFont="1" applyFill="1" applyBorder="1" applyAlignment="1">
      <alignment horizontal="center" vertical="center"/>
    </xf>
    <xf numFmtId="164" fontId="68" fillId="0" borderId="22" xfId="1" applyNumberFormat="1" applyFont="1" applyFill="1" applyBorder="1" applyAlignment="1">
      <alignment vertical="center" wrapText="1"/>
    </xf>
    <xf numFmtId="166" fontId="65" fillId="0" borderId="22" xfId="12" applyNumberFormat="1" applyFont="1" applyFill="1" applyBorder="1" applyAlignment="1" applyProtection="1">
      <alignment horizontal="left" vertical="center" wrapText="1" indent="5"/>
    </xf>
    <xf numFmtId="166" fontId="65" fillId="0" borderId="22" xfId="12" applyNumberFormat="1" applyFont="1" applyFill="1" applyBorder="1" applyAlignment="1" applyProtection="1">
      <alignment horizontal="center" vertical="center"/>
    </xf>
    <xf numFmtId="164" fontId="65" fillId="0" borderId="22" xfId="1" applyNumberFormat="1" applyFont="1" applyFill="1" applyBorder="1" applyAlignment="1">
      <alignment vertical="center"/>
    </xf>
    <xf numFmtId="164" fontId="65" fillId="0" borderId="22" xfId="1" applyNumberFormat="1" applyFont="1" applyFill="1" applyBorder="1" applyAlignment="1">
      <alignment vertical="center" wrapText="1"/>
    </xf>
    <xf numFmtId="0" fontId="68" fillId="0" borderId="22" xfId="0" applyFont="1" applyFill="1" applyBorder="1" applyAlignment="1">
      <alignment horizontal="center" vertical="center"/>
    </xf>
    <xf numFmtId="3" fontId="68" fillId="0" borderId="22" xfId="0" applyNumberFormat="1" applyFont="1" applyFill="1" applyBorder="1" applyAlignment="1">
      <alignment vertical="center"/>
    </xf>
    <xf numFmtId="165" fontId="66" fillId="9" borderId="22" xfId="0" applyNumberFormat="1" applyFont="1" applyFill="1" applyBorder="1" applyAlignment="1">
      <alignment vertical="center"/>
    </xf>
    <xf numFmtId="166" fontId="66" fillId="0" borderId="22" xfId="12" applyNumberFormat="1" applyFont="1" applyFill="1" applyBorder="1" applyAlignment="1" applyProtection="1">
      <alignment horizontal="left" vertical="center" wrapText="1" indent="5"/>
    </xf>
    <xf numFmtId="0" fontId="66" fillId="0" borderId="22" xfId="12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vertical="center"/>
    </xf>
    <xf numFmtId="164" fontId="66" fillId="0" borderId="22" xfId="1" applyNumberFormat="1" applyFont="1" applyFill="1" applyBorder="1" applyAlignment="1">
      <alignment vertical="center" wrapText="1"/>
    </xf>
    <xf numFmtId="166" fontId="67" fillId="9" borderId="22" xfId="12" applyNumberFormat="1" applyFont="1" applyFill="1" applyBorder="1" applyAlignment="1" applyProtection="1">
      <alignment vertical="center" wrapText="1"/>
    </xf>
    <xf numFmtId="0" fontId="65" fillId="9" borderId="22" xfId="0" applyFont="1" applyFill="1" applyBorder="1" applyAlignment="1">
      <alignment vertical="center"/>
    </xf>
    <xf numFmtId="165" fontId="67" fillId="11" borderId="22" xfId="1" applyNumberFormat="1" applyFont="1" applyFill="1" applyBorder="1" applyAlignment="1">
      <alignment vertical="center"/>
    </xf>
    <xf numFmtId="0" fontId="36" fillId="0" borderId="22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4" borderId="22" xfId="0" applyFont="1" applyFill="1" applyBorder="1" applyAlignment="1">
      <alignment horizontal="left" vertical="center"/>
    </xf>
    <xf numFmtId="0" fontId="34" fillId="0" borderId="22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left" vertical="center"/>
    </xf>
    <xf numFmtId="41" fontId="37" fillId="0" borderId="22" xfId="0" applyNumberFormat="1" applyFont="1" applyFill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/>
    </xf>
    <xf numFmtId="0" fontId="34" fillId="0" borderId="22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/>
    </xf>
    <xf numFmtId="0" fontId="36" fillId="4" borderId="22" xfId="0" applyFont="1" applyFill="1" applyBorder="1" applyAlignment="1">
      <alignment horizontal="left" vertical="center" wrapText="1"/>
    </xf>
    <xf numFmtId="164" fontId="36" fillId="4" borderId="22" xfId="1" applyNumberFormat="1" applyFont="1" applyFill="1" applyBorder="1" applyAlignment="1">
      <alignment horizontal="left" vertical="center"/>
    </xf>
    <xf numFmtId="43" fontId="36" fillId="4" borderId="22" xfId="1" applyNumberFormat="1" applyFont="1" applyFill="1" applyBorder="1" applyAlignment="1">
      <alignment horizontal="left" vertical="center"/>
    </xf>
    <xf numFmtId="43" fontId="36" fillId="4" borderId="22" xfId="1" applyNumberFormat="1" applyFont="1" applyFill="1" applyBorder="1" applyAlignment="1">
      <alignment horizontal="left" vertical="center"/>
    </xf>
    <xf numFmtId="43" fontId="36" fillId="4" borderId="36" xfId="1" applyNumberFormat="1" applyFont="1" applyFill="1" applyBorder="1" applyAlignment="1">
      <alignment horizontal="left" vertical="center"/>
    </xf>
    <xf numFmtId="164" fontId="36" fillId="4" borderId="38" xfId="1" applyNumberFormat="1" applyFont="1" applyFill="1" applyBorder="1" applyAlignment="1">
      <alignment horizontal="left" vertical="center" wrapText="1"/>
    </xf>
    <xf numFmtId="164" fontId="34" fillId="0" borderId="22" xfId="1" applyNumberFormat="1" applyFont="1" applyFill="1" applyBorder="1" applyAlignment="1">
      <alignment horizontal="left" vertical="center"/>
    </xf>
    <xf numFmtId="43" fontId="34" fillId="0" borderId="22" xfId="1" applyNumberFormat="1" applyFont="1" applyFill="1" applyBorder="1" applyAlignment="1">
      <alignment horizontal="left" vertical="center"/>
    </xf>
    <xf numFmtId="43" fontId="34" fillId="0" borderId="22" xfId="1" applyNumberFormat="1" applyFont="1" applyFill="1" applyBorder="1" applyAlignment="1">
      <alignment horizontal="left" vertical="center"/>
    </xf>
    <xf numFmtId="43" fontId="34" fillId="0" borderId="36" xfId="1" applyNumberFormat="1" applyFont="1" applyFill="1" applyBorder="1" applyAlignment="1">
      <alignment horizontal="left" vertical="center"/>
    </xf>
    <xf numFmtId="164" fontId="54" fillId="4" borderId="22" xfId="1" applyNumberFormat="1" applyFont="1" applyFill="1" applyBorder="1" applyAlignment="1">
      <alignment horizontal="left" vertical="center" wrapText="1"/>
    </xf>
    <xf numFmtId="0" fontId="36" fillId="12" borderId="22" xfId="0" applyFont="1" applyFill="1" applyBorder="1" applyAlignment="1">
      <alignment horizontal="left" vertical="center"/>
    </xf>
    <xf numFmtId="164" fontId="36" fillId="12" borderId="22" xfId="1" applyNumberFormat="1" applyFont="1" applyFill="1" applyBorder="1" applyAlignment="1">
      <alignment horizontal="left" vertical="center"/>
    </xf>
    <xf numFmtId="43" fontId="36" fillId="12" borderId="22" xfId="1" applyNumberFormat="1" applyFont="1" applyFill="1" applyBorder="1" applyAlignment="1">
      <alignment horizontal="left" vertical="center"/>
    </xf>
    <xf numFmtId="43" fontId="36" fillId="12" borderId="22" xfId="1" applyNumberFormat="1" applyFont="1" applyFill="1" applyBorder="1" applyAlignment="1">
      <alignment horizontal="left" vertical="center"/>
    </xf>
    <xf numFmtId="0" fontId="36" fillId="13" borderId="22" xfId="0" applyFont="1" applyFill="1" applyBorder="1" applyAlignment="1">
      <alignment horizontal="left" vertical="center"/>
    </xf>
    <xf numFmtId="164" fontId="36" fillId="13" borderId="22" xfId="1" applyNumberFormat="1" applyFont="1" applyFill="1" applyBorder="1" applyAlignment="1">
      <alignment horizontal="left" vertical="center"/>
    </xf>
    <xf numFmtId="43" fontId="36" fillId="13" borderId="22" xfId="1" applyNumberFormat="1" applyFont="1" applyFill="1" applyBorder="1" applyAlignment="1">
      <alignment horizontal="left" vertical="center"/>
    </xf>
    <xf numFmtId="43" fontId="36" fillId="13" borderId="22" xfId="1" applyNumberFormat="1" applyFont="1" applyFill="1" applyBorder="1" applyAlignment="1">
      <alignment horizontal="left" vertical="center"/>
    </xf>
    <xf numFmtId="43" fontId="36" fillId="13" borderId="36" xfId="1" applyNumberFormat="1" applyFont="1" applyFill="1" applyBorder="1" applyAlignment="1">
      <alignment horizontal="left" vertical="center"/>
    </xf>
    <xf numFmtId="0" fontId="36" fillId="0" borderId="22" xfId="0" applyFont="1" applyFill="1" applyBorder="1" applyAlignment="1">
      <alignment horizontal="left" vertical="center"/>
    </xf>
    <xf numFmtId="164" fontId="36" fillId="0" borderId="22" xfId="1" applyNumberFormat="1" applyFont="1" applyFill="1" applyBorder="1" applyAlignment="1">
      <alignment horizontal="left" vertical="center"/>
    </xf>
    <xf numFmtId="43" fontId="36" fillId="0" borderId="22" xfId="1" applyNumberFormat="1" applyFont="1" applyFill="1" applyBorder="1" applyAlignment="1">
      <alignment horizontal="left" vertical="center"/>
    </xf>
    <xf numFmtId="43" fontId="36" fillId="0" borderId="22" xfId="1" applyNumberFormat="1" applyFont="1" applyFill="1" applyBorder="1" applyAlignment="1">
      <alignment horizontal="left" vertical="center"/>
    </xf>
    <xf numFmtId="43" fontId="36" fillId="0" borderId="36" xfId="1" applyNumberFormat="1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  <xf numFmtId="164" fontId="37" fillId="0" borderId="22" xfId="1" applyNumberFormat="1" applyFont="1" applyFill="1" applyBorder="1" applyAlignment="1">
      <alignment horizontal="left" vertical="center"/>
    </xf>
    <xf numFmtId="43" fontId="37" fillId="0" borderId="22" xfId="1" applyNumberFormat="1" applyFont="1" applyFill="1" applyBorder="1" applyAlignment="1">
      <alignment horizontal="left" vertical="center"/>
    </xf>
    <xf numFmtId="43" fontId="37" fillId="0" borderId="22" xfId="1" applyNumberFormat="1" applyFont="1" applyFill="1" applyBorder="1" applyAlignment="1">
      <alignment horizontal="left" vertical="center"/>
    </xf>
    <xf numFmtId="43" fontId="37" fillId="0" borderId="36" xfId="1" applyNumberFormat="1" applyFont="1" applyFill="1" applyBorder="1" applyAlignment="1">
      <alignment horizontal="left" vertical="center"/>
    </xf>
    <xf numFmtId="41" fontId="37" fillId="0" borderId="22" xfId="0" applyNumberFormat="1" applyFont="1" applyFill="1" applyBorder="1" applyAlignment="1">
      <alignment horizontal="left" vertical="center"/>
    </xf>
    <xf numFmtId="43" fontId="37" fillId="0" borderId="22" xfId="0" applyNumberFormat="1" applyFont="1" applyFill="1" applyBorder="1" applyAlignment="1">
      <alignment horizontal="left" vertical="center"/>
    </xf>
    <xf numFmtId="43" fontId="36" fillId="0" borderId="22" xfId="0" applyNumberFormat="1" applyFont="1" applyFill="1" applyBorder="1" applyAlignment="1">
      <alignment horizontal="left" vertical="center"/>
    </xf>
    <xf numFmtId="43" fontId="37" fillId="0" borderId="22" xfId="0" applyNumberFormat="1" applyFont="1" applyFill="1" applyBorder="1" applyAlignment="1">
      <alignment horizontal="left" vertical="center"/>
    </xf>
    <xf numFmtId="43" fontId="37" fillId="0" borderId="36" xfId="0" applyNumberFormat="1" applyFont="1" applyFill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164" fontId="36" fillId="0" borderId="22" xfId="1" applyNumberFormat="1" applyFont="1" applyBorder="1" applyAlignment="1">
      <alignment horizontal="left" vertical="center"/>
    </xf>
    <xf numFmtId="43" fontId="36" fillId="0" borderId="22" xfId="1" applyNumberFormat="1" applyFont="1" applyBorder="1" applyAlignment="1">
      <alignment horizontal="left" vertical="center"/>
    </xf>
    <xf numFmtId="43" fontId="36" fillId="0" borderId="22" xfId="1" applyNumberFormat="1" applyFont="1" applyBorder="1" applyAlignment="1">
      <alignment horizontal="left" vertical="center"/>
    </xf>
    <xf numFmtId="43" fontId="36" fillId="0" borderId="36" xfId="1" applyNumberFormat="1" applyFont="1" applyBorder="1" applyAlignment="1">
      <alignment horizontal="left" vertical="center"/>
    </xf>
    <xf numFmtId="0" fontId="39" fillId="0" borderId="22" xfId="0" applyFont="1" applyFill="1" applyBorder="1" applyAlignment="1">
      <alignment horizontal="left" vertical="center"/>
    </xf>
    <xf numFmtId="0" fontId="15" fillId="13" borderId="22" xfId="0" applyFont="1" applyFill="1" applyBorder="1" applyAlignment="1">
      <alignment horizontal="left" vertical="center"/>
    </xf>
    <xf numFmtId="164" fontId="15" fillId="13" borderId="22" xfId="1" applyNumberFormat="1" applyFont="1" applyFill="1" applyBorder="1" applyAlignment="1">
      <alignment horizontal="left" vertical="center"/>
    </xf>
    <xf numFmtId="43" fontId="15" fillId="13" borderId="22" xfId="1" applyNumberFormat="1" applyFont="1" applyFill="1" applyBorder="1" applyAlignment="1">
      <alignment horizontal="left" vertical="center"/>
    </xf>
    <xf numFmtId="43" fontId="34" fillId="13" borderId="22" xfId="1" applyNumberFormat="1" applyFont="1" applyFill="1" applyBorder="1" applyAlignment="1">
      <alignment horizontal="left" vertical="center"/>
    </xf>
    <xf numFmtId="43" fontId="15" fillId="13" borderId="22" xfId="1" applyNumberFormat="1" applyFont="1" applyFill="1" applyBorder="1" applyAlignment="1">
      <alignment horizontal="left" vertical="center"/>
    </xf>
    <xf numFmtId="43" fontId="15" fillId="13" borderId="36" xfId="1" applyNumberFormat="1" applyFont="1" applyFill="1" applyBorder="1" applyAlignment="1">
      <alignment horizontal="left" vertical="center"/>
    </xf>
    <xf numFmtId="0" fontId="22" fillId="13" borderId="22" xfId="0" applyFont="1" applyFill="1" applyBorder="1" applyAlignment="1">
      <alignment horizontal="left" vertical="center" wrapText="1"/>
    </xf>
    <xf numFmtId="0" fontId="22" fillId="13" borderId="22" xfId="0" applyFont="1" applyFill="1" applyBorder="1" applyAlignment="1">
      <alignment horizontal="left" vertical="center"/>
    </xf>
    <xf numFmtId="164" fontId="22" fillId="13" borderId="22" xfId="1" applyNumberFormat="1" applyFont="1" applyFill="1" applyBorder="1" applyAlignment="1">
      <alignment horizontal="left" vertical="center"/>
    </xf>
    <xf numFmtId="43" fontId="22" fillId="13" borderId="22" xfId="1" applyNumberFormat="1" applyFont="1" applyFill="1" applyBorder="1" applyAlignment="1">
      <alignment horizontal="left" vertical="center"/>
    </xf>
    <xf numFmtId="43" fontId="22" fillId="13" borderId="36" xfId="1" applyNumberFormat="1" applyFont="1" applyFill="1" applyBorder="1" applyAlignment="1">
      <alignment horizontal="left" vertical="center"/>
    </xf>
    <xf numFmtId="0" fontId="22" fillId="4" borderId="22" xfId="0" applyFont="1" applyFill="1" applyBorder="1" applyAlignment="1">
      <alignment horizontal="left" vertical="center" wrapText="1"/>
    </xf>
    <xf numFmtId="0" fontId="22" fillId="4" borderId="22" xfId="0" applyFont="1" applyFill="1" applyBorder="1" applyAlignment="1">
      <alignment horizontal="left" vertical="center"/>
    </xf>
    <xf numFmtId="164" fontId="22" fillId="4" borderId="22" xfId="1" applyNumberFormat="1" applyFont="1" applyFill="1" applyBorder="1" applyAlignment="1">
      <alignment horizontal="left" vertical="center"/>
    </xf>
    <xf numFmtId="43" fontId="22" fillId="4" borderId="22" xfId="1" applyNumberFormat="1" applyFont="1" applyFill="1" applyBorder="1" applyAlignment="1">
      <alignment horizontal="left" vertical="center"/>
    </xf>
    <xf numFmtId="43" fontId="22" fillId="4" borderId="36" xfId="1" applyNumberFormat="1" applyFont="1" applyFill="1" applyBorder="1" applyAlignment="1">
      <alignment horizontal="left" vertical="center"/>
    </xf>
    <xf numFmtId="164" fontId="22" fillId="4" borderId="22" xfId="1" applyNumberFormat="1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/>
    </xf>
    <xf numFmtId="164" fontId="22" fillId="0" borderId="22" xfId="1" applyNumberFormat="1" applyFont="1" applyFill="1" applyBorder="1" applyAlignment="1">
      <alignment horizontal="left" vertical="center"/>
    </xf>
    <xf numFmtId="43" fontId="22" fillId="0" borderId="22" xfId="1" applyNumberFormat="1" applyFont="1" applyFill="1" applyBorder="1" applyAlignment="1">
      <alignment horizontal="left" vertical="center"/>
    </xf>
    <xf numFmtId="43" fontId="22" fillId="0" borderId="22" xfId="1" applyNumberFormat="1" applyFont="1" applyFill="1" applyBorder="1" applyAlignment="1">
      <alignment horizontal="left" vertical="center"/>
    </xf>
    <xf numFmtId="43" fontId="22" fillId="0" borderId="36" xfId="1" applyNumberFormat="1" applyFont="1" applyFill="1" applyBorder="1" applyAlignment="1">
      <alignment horizontal="left" vertical="center"/>
    </xf>
    <xf numFmtId="164" fontId="40" fillId="4" borderId="22" xfId="1" applyNumberFormat="1" applyFont="1" applyFill="1" applyBorder="1" applyAlignment="1">
      <alignment horizontal="left" vertical="center" wrapText="1"/>
    </xf>
    <xf numFmtId="164" fontId="15" fillId="0" borderId="22" xfId="1" applyNumberFormat="1" applyFont="1" applyFill="1" applyBorder="1" applyAlignment="1">
      <alignment horizontal="left" vertical="center"/>
    </xf>
    <xf numFmtId="43" fontId="15" fillId="0" borderId="22" xfId="1" applyNumberFormat="1" applyFont="1" applyFill="1" applyBorder="1" applyAlignment="1">
      <alignment horizontal="left" vertical="center"/>
    </xf>
    <xf numFmtId="43" fontId="15" fillId="0" borderId="36" xfId="1" applyNumberFormat="1" applyFont="1" applyFill="1" applyBorder="1" applyAlignment="1">
      <alignment horizontal="left" vertical="center"/>
    </xf>
    <xf numFmtId="0" fontId="42" fillId="0" borderId="38" xfId="0" applyFont="1" applyBorder="1" applyAlignment="1">
      <alignment horizontal="left" vertical="center"/>
    </xf>
    <xf numFmtId="43" fontId="15" fillId="0" borderId="22" xfId="1" applyNumberFormat="1" applyFont="1" applyFill="1" applyBorder="1" applyAlignment="1">
      <alignment horizontal="left" vertical="center"/>
    </xf>
    <xf numFmtId="166" fontId="12" fillId="4" borderId="38" xfId="12" applyNumberFormat="1" applyFont="1" applyFill="1" applyBorder="1" applyAlignment="1" applyProtection="1">
      <alignment horizontal="left" vertical="center" wrapText="1"/>
    </xf>
    <xf numFmtId="0" fontId="15" fillId="4" borderId="22" xfId="0" applyFont="1" applyFill="1" applyBorder="1" applyAlignment="1">
      <alignment horizontal="left" vertical="center"/>
    </xf>
    <xf numFmtId="166" fontId="44" fillId="0" borderId="38" xfId="12" applyNumberFormat="1" applyFont="1" applyFill="1" applyBorder="1" applyAlignment="1" applyProtection="1">
      <alignment horizontal="left" vertical="center" wrapText="1"/>
    </xf>
    <xf numFmtId="164" fontId="40" fillId="13" borderId="22" xfId="1" applyNumberFormat="1" applyFont="1" applyFill="1" applyBorder="1" applyAlignment="1">
      <alignment horizontal="left" vertical="center"/>
    </xf>
    <xf numFmtId="0" fontId="22" fillId="4" borderId="38" xfId="0" applyFont="1" applyFill="1" applyBorder="1" applyAlignment="1">
      <alignment horizontal="left" vertical="center"/>
    </xf>
    <xf numFmtId="0" fontId="40" fillId="0" borderId="38" xfId="0" applyFont="1" applyFill="1" applyBorder="1" applyAlignment="1">
      <alignment horizontal="left" vertical="center"/>
    </xf>
    <xf numFmtId="164" fontId="54" fillId="13" borderId="22" xfId="1" applyNumberFormat="1" applyFont="1" applyFill="1" applyBorder="1" applyAlignment="1">
      <alignment horizontal="left" vertical="center"/>
    </xf>
    <xf numFmtId="164" fontId="54" fillId="4" borderId="22" xfId="1" applyNumberFormat="1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69" fillId="0" borderId="0" xfId="2" applyFont="1" applyAlignment="1">
      <alignment vertical="center"/>
    </xf>
    <xf numFmtId="0" fontId="69" fillId="0" borderId="0" xfId="2" applyFont="1" applyAlignment="1">
      <alignment horizontal="center" vertical="center"/>
    </xf>
    <xf numFmtId="164" fontId="69" fillId="0" borderId="0" xfId="4" applyNumberFormat="1" applyFont="1" applyAlignment="1">
      <alignment vertical="center"/>
    </xf>
    <xf numFmtId="9" fontId="69" fillId="0" borderId="0" xfId="3" applyFont="1" applyAlignment="1">
      <alignment vertical="center"/>
    </xf>
    <xf numFmtId="0" fontId="69" fillId="0" borderId="0" xfId="2" applyFont="1" applyAlignment="1">
      <alignment vertical="center" wrapText="1"/>
    </xf>
    <xf numFmtId="0" fontId="70" fillId="0" borderId="0" xfId="2" applyFont="1" applyAlignment="1">
      <alignment vertical="center"/>
    </xf>
    <xf numFmtId="0" fontId="70" fillId="0" borderId="0" xfId="2" applyFont="1" applyAlignment="1">
      <alignment horizontal="center" vertical="center"/>
    </xf>
    <xf numFmtId="164" fontId="70" fillId="0" borderId="0" xfId="4" applyNumberFormat="1" applyFont="1" applyAlignment="1">
      <alignment vertical="center"/>
    </xf>
    <xf numFmtId="9" fontId="70" fillId="0" borderId="0" xfId="3" applyFont="1" applyAlignment="1">
      <alignment vertical="center"/>
    </xf>
    <xf numFmtId="0" fontId="53" fillId="0" borderId="0" xfId="0" applyFont="1"/>
    <xf numFmtId="0" fontId="69" fillId="0" borderId="0" xfId="2" applyFont="1" applyFill="1" applyAlignment="1">
      <alignment vertical="center"/>
    </xf>
    <xf numFmtId="164" fontId="70" fillId="4" borderId="22" xfId="4" applyNumberFormat="1" applyFont="1" applyFill="1" applyBorder="1" applyAlignment="1">
      <alignment vertical="center" wrapText="1"/>
    </xf>
    <xf numFmtId="43" fontId="69" fillId="2" borderId="36" xfId="5" applyFont="1" applyFill="1" applyBorder="1" applyAlignment="1">
      <alignment vertical="center" wrapText="1"/>
    </xf>
    <xf numFmtId="164" fontId="69" fillId="0" borderId="22" xfId="4" applyNumberFormat="1" applyFont="1" applyFill="1" applyBorder="1" applyAlignment="1">
      <alignment vertical="center" wrapText="1"/>
    </xf>
    <xf numFmtId="0" fontId="69" fillId="0" borderId="22" xfId="2" applyFont="1" applyBorder="1" applyAlignment="1">
      <alignment vertical="center"/>
    </xf>
    <xf numFmtId="9" fontId="69" fillId="0" borderId="22" xfId="3" applyFont="1" applyBorder="1" applyAlignment="1">
      <alignment vertical="center"/>
    </xf>
    <xf numFmtId="164" fontId="69" fillId="0" borderId="22" xfId="4" quotePrefix="1" applyNumberFormat="1" applyFont="1" applyBorder="1" applyAlignment="1">
      <alignment vertical="center"/>
    </xf>
    <xf numFmtId="164" fontId="69" fillId="0" borderId="22" xfId="4" applyNumberFormat="1" applyFont="1" applyBorder="1" applyAlignment="1">
      <alignment horizontal="left" vertical="center"/>
    </xf>
    <xf numFmtId="9" fontId="69" fillId="0" borderId="22" xfId="3" quotePrefix="1" applyFont="1" applyBorder="1" applyAlignment="1">
      <alignment horizontal="center" vertical="center"/>
    </xf>
    <xf numFmtId="0" fontId="71" fillId="0" borderId="0" xfId="2" applyFont="1" applyFill="1" applyAlignment="1">
      <alignment vertical="center"/>
    </xf>
    <xf numFmtId="0" fontId="71" fillId="0" borderId="0" xfId="2" applyFont="1" applyAlignment="1">
      <alignment vertical="center"/>
    </xf>
    <xf numFmtId="0" fontId="73" fillId="0" borderId="0" xfId="0" applyFont="1"/>
    <xf numFmtId="164" fontId="69" fillId="0" borderId="0" xfId="4" applyNumberFormat="1" applyFont="1" applyFill="1" applyBorder="1"/>
    <xf numFmtId="0" fontId="74" fillId="0" borderId="0" xfId="0" applyFont="1"/>
    <xf numFmtId="164" fontId="40" fillId="4" borderId="22" xfId="1" applyNumberFormat="1" applyFont="1" applyFill="1" applyBorder="1" applyAlignment="1">
      <alignment vertical="center" wrapText="1"/>
    </xf>
    <xf numFmtId="0" fontId="42" fillId="0" borderId="38" xfId="0" applyFont="1" applyFill="1" applyBorder="1" applyAlignment="1">
      <alignment horizontal="left" vertical="center"/>
    </xf>
    <xf numFmtId="164" fontId="54" fillId="4" borderId="22" xfId="1" applyNumberFormat="1" applyFont="1" applyFill="1" applyBorder="1" applyAlignment="1">
      <alignment horizontal="left" vertical="top" wrapText="1"/>
    </xf>
    <xf numFmtId="0" fontId="69" fillId="0" borderId="23" xfId="2" applyFont="1" applyBorder="1" applyAlignment="1">
      <alignment vertical="center" wrapText="1"/>
    </xf>
    <xf numFmtId="164" fontId="70" fillId="15" borderId="46" xfId="4" applyNumberFormat="1" applyFont="1" applyFill="1" applyBorder="1" applyAlignment="1">
      <alignment horizontal="left" vertical="center" wrapText="1" indent="2"/>
    </xf>
    <xf numFmtId="164" fontId="70" fillId="15" borderId="39" xfId="4" applyNumberFormat="1" applyFont="1" applyFill="1" applyBorder="1" applyAlignment="1">
      <alignment vertical="center" wrapText="1"/>
    </xf>
    <xf numFmtId="0" fontId="69" fillId="15" borderId="39" xfId="2" applyFont="1" applyFill="1" applyBorder="1" applyAlignment="1">
      <alignment vertical="center"/>
    </xf>
    <xf numFmtId="164" fontId="69" fillId="15" borderId="39" xfId="4" applyNumberFormat="1" applyFont="1" applyFill="1" applyBorder="1" applyAlignment="1">
      <alignment vertical="center"/>
    </xf>
    <xf numFmtId="9" fontId="69" fillId="15" borderId="39" xfId="3" applyFont="1" applyFill="1" applyBorder="1" applyAlignment="1">
      <alignment vertical="center"/>
    </xf>
    <xf numFmtId="164" fontId="69" fillId="15" borderId="39" xfId="4" applyNumberFormat="1" applyFont="1" applyFill="1" applyBorder="1" applyAlignment="1">
      <alignment horizontal="left"/>
    </xf>
    <xf numFmtId="9" fontId="69" fillId="15" borderId="39" xfId="3" quotePrefix="1" applyFont="1" applyFill="1" applyBorder="1" applyAlignment="1">
      <alignment horizontal="center" vertical="center"/>
    </xf>
    <xf numFmtId="0" fontId="69" fillId="15" borderId="45" xfId="2" applyFont="1" applyFill="1" applyBorder="1" applyAlignment="1">
      <alignment vertical="center" wrapText="1"/>
    </xf>
    <xf numFmtId="164" fontId="71" fillId="16" borderId="42" xfId="4" applyNumberFormat="1" applyFont="1" applyFill="1" applyBorder="1" applyAlignment="1">
      <alignment vertical="center" wrapText="1"/>
    </xf>
    <xf numFmtId="164" fontId="71" fillId="16" borderId="43" xfId="4" applyNumberFormat="1" applyFont="1" applyFill="1" applyBorder="1" applyAlignment="1">
      <alignment vertical="center" wrapText="1"/>
    </xf>
    <xf numFmtId="0" fontId="71" fillId="16" borderId="43" xfId="2" applyFont="1" applyFill="1" applyBorder="1" applyAlignment="1">
      <alignment vertical="center"/>
    </xf>
    <xf numFmtId="0" fontId="71" fillId="16" borderId="43" xfId="2" applyFont="1" applyFill="1" applyBorder="1" applyAlignment="1">
      <alignment vertical="center" wrapText="1"/>
    </xf>
    <xf numFmtId="168" fontId="71" fillId="16" borderId="43" xfId="2" applyNumberFormat="1" applyFont="1" applyFill="1" applyBorder="1" applyAlignment="1">
      <alignment vertical="center"/>
    </xf>
    <xf numFmtId="164" fontId="71" fillId="16" borderId="43" xfId="2" applyNumberFormat="1" applyFont="1" applyFill="1" applyBorder="1" applyAlignment="1">
      <alignment vertical="center"/>
    </xf>
    <xf numFmtId="9" fontId="72" fillId="16" borderId="22" xfId="3" applyFont="1" applyFill="1" applyBorder="1" applyAlignment="1">
      <alignment vertical="center"/>
    </xf>
    <xf numFmtId="9" fontId="72" fillId="16" borderId="22" xfId="3" quotePrefix="1" applyFont="1" applyFill="1" applyBorder="1" applyAlignment="1">
      <alignment horizontal="center" vertical="center"/>
    </xf>
    <xf numFmtId="0" fontId="71" fillId="16" borderId="44" xfId="2" applyFont="1" applyFill="1" applyBorder="1" applyAlignment="1">
      <alignment vertical="center" wrapText="1"/>
    </xf>
    <xf numFmtId="49" fontId="17" fillId="0" borderId="22" xfId="3" applyNumberFormat="1" applyFont="1" applyFill="1" applyBorder="1" applyAlignment="1">
      <alignment vertical="center"/>
    </xf>
    <xf numFmtId="0" fontId="70" fillId="0" borderId="0" xfId="2" applyFont="1" applyFill="1" applyAlignment="1">
      <alignment vertical="center"/>
    </xf>
    <xf numFmtId="0" fontId="55" fillId="0" borderId="22" xfId="0" applyFont="1" applyFill="1" applyBorder="1" applyAlignment="1">
      <alignment horizontal="left" vertical="center"/>
    </xf>
    <xf numFmtId="43" fontId="22" fillId="12" borderId="36" xfId="1" applyNumberFormat="1" applyFont="1" applyFill="1" applyBorder="1" applyAlignment="1">
      <alignment horizontal="left" vertical="center"/>
    </xf>
    <xf numFmtId="0" fontId="30" fillId="0" borderId="0" xfId="0" applyFont="1"/>
    <xf numFmtId="43" fontId="34" fillId="0" borderId="38" xfId="1" applyNumberFormat="1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166" fontId="44" fillId="0" borderId="22" xfId="12" applyNumberFormat="1" applyFont="1" applyFill="1" applyBorder="1" applyAlignment="1" applyProtection="1">
      <alignment horizontal="left" vertical="center" wrapText="1"/>
    </xf>
    <xf numFmtId="164" fontId="66" fillId="6" borderId="39" xfId="0" applyNumberFormat="1" applyFont="1" applyFill="1" applyBorder="1" applyAlignment="1">
      <alignment vertical="center"/>
    </xf>
    <xf numFmtId="166" fontId="67" fillId="5" borderId="22" xfId="12" applyNumberFormat="1" applyFont="1" applyFill="1" applyBorder="1" applyAlignment="1" applyProtection="1">
      <alignment vertical="center" wrapText="1"/>
    </xf>
    <xf numFmtId="0" fontId="27" fillId="0" borderId="0" xfId="0" applyFont="1" applyAlignment="1">
      <alignment vertical="center"/>
    </xf>
    <xf numFmtId="0" fontId="67" fillId="7" borderId="22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164" fontId="70" fillId="10" borderId="22" xfId="4" applyNumberFormat="1" applyFont="1" applyFill="1" applyBorder="1" applyAlignment="1">
      <alignment vertical="center" wrapText="1"/>
    </xf>
    <xf numFmtId="0" fontId="70" fillId="10" borderId="22" xfId="2" applyFont="1" applyFill="1" applyBorder="1" applyAlignment="1">
      <alignment vertical="center"/>
    </xf>
    <xf numFmtId="0" fontId="70" fillId="10" borderId="22" xfId="2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left" vertical="center"/>
    </xf>
    <xf numFmtId="165" fontId="36" fillId="4" borderId="22" xfId="1" applyNumberFormat="1" applyFont="1" applyFill="1" applyBorder="1" applyAlignment="1">
      <alignment horizontal="left" vertical="center"/>
    </xf>
    <xf numFmtId="165" fontId="36" fillId="13" borderId="22" xfId="1" applyNumberFormat="1" applyFont="1" applyFill="1" applyBorder="1" applyAlignment="1">
      <alignment horizontal="left" vertical="center"/>
    </xf>
    <xf numFmtId="165" fontId="36" fillId="12" borderId="22" xfId="1" applyNumberFormat="1" applyFont="1" applyFill="1" applyBorder="1" applyAlignment="1">
      <alignment horizontal="left" vertical="center"/>
    </xf>
    <xf numFmtId="165" fontId="28" fillId="12" borderId="22" xfId="1" applyNumberFormat="1" applyFont="1" applyFill="1" applyBorder="1" applyAlignment="1">
      <alignment vertical="center"/>
    </xf>
    <xf numFmtId="165" fontId="65" fillId="0" borderId="22" xfId="1" applyNumberFormat="1" applyFont="1" applyFill="1" applyBorder="1" applyAlignment="1" applyProtection="1">
      <alignment vertical="center"/>
    </xf>
    <xf numFmtId="1" fontId="68" fillId="0" borderId="22" xfId="12" applyNumberFormat="1" applyFont="1" applyFill="1" applyBorder="1" applyAlignment="1" applyProtection="1">
      <alignment vertical="center"/>
    </xf>
    <xf numFmtId="1" fontId="68" fillId="0" borderId="22" xfId="12" applyNumberFormat="1" applyFont="1" applyFill="1" applyBorder="1" applyAlignment="1">
      <alignment vertical="center"/>
    </xf>
    <xf numFmtId="1" fontId="66" fillId="0" borderId="22" xfId="12" applyNumberFormat="1" applyFont="1" applyFill="1" applyBorder="1" applyAlignment="1">
      <alignment vertical="center"/>
    </xf>
    <xf numFmtId="0" fontId="70" fillId="4" borderId="22" xfId="2" applyFont="1" applyFill="1" applyBorder="1" applyAlignment="1">
      <alignment vertical="center"/>
    </xf>
    <xf numFmtId="0" fontId="70" fillId="4" borderId="22" xfId="2" applyFont="1" applyFill="1" applyBorder="1" applyAlignment="1">
      <alignment vertical="center" wrapText="1"/>
    </xf>
    <xf numFmtId="0" fontId="70" fillId="12" borderId="22" xfId="2" applyFont="1" applyFill="1" applyBorder="1" applyAlignment="1">
      <alignment vertical="center"/>
    </xf>
    <xf numFmtId="164" fontId="70" fillId="12" borderId="22" xfId="4" applyNumberFormat="1" applyFont="1" applyFill="1" applyBorder="1" applyAlignment="1">
      <alignment vertical="center"/>
    </xf>
    <xf numFmtId="9" fontId="70" fillId="12" borderId="22" xfId="3" applyFont="1" applyFill="1" applyBorder="1" applyAlignment="1">
      <alignment vertical="center"/>
    </xf>
    <xf numFmtId="164" fontId="70" fillId="12" borderId="22" xfId="4" applyNumberFormat="1" applyFont="1" applyFill="1" applyBorder="1" applyAlignment="1">
      <alignment horizontal="left"/>
    </xf>
    <xf numFmtId="0" fontId="70" fillId="12" borderId="22" xfId="2" applyFont="1" applyFill="1" applyBorder="1" applyAlignment="1">
      <alignment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34" fillId="2" borderId="22" xfId="0" applyFont="1" applyFill="1" applyBorder="1" applyAlignment="1">
      <alignment horizontal="left" vertical="center"/>
    </xf>
    <xf numFmtId="0" fontId="55" fillId="2" borderId="22" xfId="0" applyFont="1" applyFill="1" applyBorder="1" applyAlignment="1">
      <alignment horizontal="left" vertical="center"/>
    </xf>
    <xf numFmtId="0" fontId="41" fillId="2" borderId="22" xfId="0" applyFont="1" applyFill="1" applyBorder="1" applyAlignment="1">
      <alignment horizontal="left" vertical="center"/>
    </xf>
    <xf numFmtId="166" fontId="43" fillId="2" borderId="22" xfId="12" applyNumberFormat="1" applyFont="1" applyFill="1" applyBorder="1" applyAlignment="1" applyProtection="1">
      <alignment horizontal="left" vertical="center" wrapText="1"/>
    </xf>
    <xf numFmtId="166" fontId="43" fillId="2" borderId="38" xfId="12" applyNumberFormat="1" applyFont="1" applyFill="1" applyBorder="1" applyAlignment="1" applyProtection="1">
      <alignment horizontal="left" vertical="center" wrapText="1"/>
    </xf>
    <xf numFmtId="166" fontId="41" fillId="2" borderId="38" xfId="12" applyNumberFormat="1" applyFont="1" applyFill="1" applyBorder="1" applyAlignment="1" applyProtection="1">
      <alignment horizontal="left" vertical="center" wrapText="1"/>
    </xf>
    <xf numFmtId="166" fontId="44" fillId="2" borderId="22" xfId="12" applyNumberFormat="1" applyFont="1" applyFill="1" applyBorder="1" applyAlignment="1" applyProtection="1">
      <alignment horizontal="left" vertical="center" wrapText="1"/>
    </xf>
    <xf numFmtId="0" fontId="42" fillId="2" borderId="38" xfId="0" applyFont="1" applyFill="1" applyBorder="1" applyAlignment="1">
      <alignment horizontal="left" vertical="center"/>
    </xf>
    <xf numFmtId="166" fontId="44" fillId="2" borderId="38" xfId="12" applyNumberFormat="1" applyFont="1" applyFill="1" applyBorder="1" applyAlignment="1" applyProtection="1">
      <alignment horizontal="left" vertical="center" wrapText="1"/>
    </xf>
    <xf numFmtId="0" fontId="41" fillId="2" borderId="38" xfId="0" applyFont="1" applyFill="1" applyBorder="1" applyAlignment="1">
      <alignment horizontal="left" vertical="center"/>
    </xf>
    <xf numFmtId="0" fontId="75" fillId="0" borderId="0" xfId="0" applyFont="1"/>
    <xf numFmtId="43" fontId="15" fillId="2" borderId="36" xfId="1" applyNumberFormat="1" applyFont="1" applyFill="1" applyBorder="1" applyAlignment="1">
      <alignment horizontal="left" vertical="center"/>
    </xf>
    <xf numFmtId="0" fontId="29" fillId="4" borderId="22" xfId="0" applyFont="1" applyFill="1" applyBorder="1" applyAlignment="1">
      <alignment horizontal="left" vertical="center"/>
    </xf>
    <xf numFmtId="0" fontId="27" fillId="0" borderId="26" xfId="0" applyFont="1" applyFill="1" applyBorder="1"/>
    <xf numFmtId="0" fontId="15" fillId="2" borderId="22" xfId="0" applyFont="1" applyFill="1" applyBorder="1" applyAlignment="1">
      <alignment horizontal="left" vertical="center"/>
    </xf>
    <xf numFmtId="164" fontId="15" fillId="2" borderId="22" xfId="1" applyNumberFormat="1" applyFont="1" applyFill="1" applyBorder="1" applyAlignment="1">
      <alignment horizontal="left" vertical="center"/>
    </xf>
    <xf numFmtId="43" fontId="34" fillId="2" borderId="22" xfId="1" applyNumberFormat="1" applyFont="1" applyFill="1" applyBorder="1" applyAlignment="1">
      <alignment horizontal="left" vertical="center"/>
    </xf>
    <xf numFmtId="43" fontId="15" fillId="2" borderId="22" xfId="1" applyNumberFormat="1" applyFont="1" applyFill="1" applyBorder="1" applyAlignment="1">
      <alignment horizontal="left" vertical="center"/>
    </xf>
    <xf numFmtId="164" fontId="70" fillId="4" borderId="22" xfId="4" applyNumberFormat="1" applyFont="1" applyFill="1" applyBorder="1" applyAlignment="1">
      <alignment vertical="center"/>
    </xf>
    <xf numFmtId="9" fontId="70" fillId="4" borderId="22" xfId="3" applyFont="1" applyFill="1" applyBorder="1" applyAlignment="1">
      <alignment vertical="center"/>
    </xf>
    <xf numFmtId="164" fontId="70" fillId="4" borderId="22" xfId="4" applyNumberFormat="1" applyFont="1" applyFill="1" applyBorder="1" applyAlignment="1">
      <alignment horizontal="left"/>
    </xf>
    <xf numFmtId="168" fontId="70" fillId="10" borderId="22" xfId="2" applyNumberFormat="1" applyFont="1" applyFill="1" applyBorder="1" applyAlignment="1">
      <alignment vertical="center"/>
    </xf>
    <xf numFmtId="164" fontId="70" fillId="10" borderId="22" xfId="2" applyNumberFormat="1" applyFont="1" applyFill="1" applyBorder="1" applyAlignment="1">
      <alignment vertical="center"/>
    </xf>
    <xf numFmtId="9" fontId="69" fillId="10" borderId="22" xfId="3" applyNumberFormat="1" applyFont="1" applyFill="1" applyBorder="1" applyAlignment="1">
      <alignment vertical="center"/>
    </xf>
    <xf numFmtId="9" fontId="69" fillId="10" borderId="22" xfId="3" quotePrefix="1" applyNumberFormat="1" applyFont="1" applyFill="1" applyBorder="1" applyAlignment="1">
      <alignment horizontal="center" vertical="center"/>
    </xf>
    <xf numFmtId="164" fontId="70" fillId="2" borderId="22" xfId="4" applyNumberFormat="1" applyFont="1" applyFill="1" applyBorder="1" applyAlignment="1">
      <alignment vertical="center" wrapText="1"/>
    </xf>
    <xf numFmtId="0" fontId="70" fillId="2" borderId="22" xfId="2" applyFont="1" applyFill="1" applyBorder="1" applyAlignment="1">
      <alignment vertical="center"/>
    </xf>
    <xf numFmtId="164" fontId="70" fillId="2" borderId="22" xfId="4" applyNumberFormat="1" applyFont="1" applyFill="1" applyBorder="1" applyAlignment="1">
      <alignment vertical="center"/>
    </xf>
    <xf numFmtId="9" fontId="70" fillId="2" borderId="22" xfId="3" applyFont="1" applyFill="1" applyBorder="1" applyAlignment="1">
      <alignment vertical="center"/>
    </xf>
    <xf numFmtId="164" fontId="70" fillId="2" borderId="22" xfId="4" applyNumberFormat="1" applyFont="1" applyFill="1" applyBorder="1" applyAlignment="1">
      <alignment horizontal="left"/>
    </xf>
    <xf numFmtId="0" fontId="70" fillId="2" borderId="22" xfId="2" applyFont="1" applyFill="1" applyBorder="1" applyAlignment="1">
      <alignment vertical="center" wrapText="1"/>
    </xf>
    <xf numFmtId="164" fontId="69" fillId="2" borderId="22" xfId="4" applyNumberFormat="1" applyFont="1" applyFill="1" applyBorder="1" applyAlignment="1">
      <alignment horizontal="left" vertical="center" wrapText="1" indent="2"/>
    </xf>
    <xf numFmtId="164" fontId="70" fillId="4" borderId="22" xfId="4" applyNumberFormat="1" applyFont="1" applyFill="1" applyBorder="1" applyAlignment="1">
      <alignment wrapText="1"/>
    </xf>
    <xf numFmtId="164" fontId="69" fillId="2" borderId="22" xfId="4" applyNumberFormat="1" applyFont="1" applyFill="1" applyBorder="1" applyAlignment="1">
      <alignment vertical="center" wrapText="1"/>
    </xf>
    <xf numFmtId="164" fontId="69" fillId="2" borderId="22" xfId="4" applyNumberFormat="1" applyFont="1" applyFill="1" applyBorder="1" applyAlignment="1">
      <alignment vertical="center"/>
    </xf>
    <xf numFmtId="0" fontId="69" fillId="2" borderId="22" xfId="2" applyFont="1" applyFill="1" applyBorder="1" applyAlignment="1">
      <alignment vertical="center"/>
    </xf>
    <xf numFmtId="9" fontId="69" fillId="2" borderId="22" xfId="3" applyFont="1" applyFill="1" applyBorder="1" applyAlignment="1">
      <alignment vertical="center"/>
    </xf>
    <xf numFmtId="164" fontId="69" fillId="2" borderId="22" xfId="4" applyNumberFormat="1" applyFont="1" applyFill="1" applyBorder="1" applyAlignment="1">
      <alignment horizontal="left"/>
    </xf>
    <xf numFmtId="0" fontId="69" fillId="2" borderId="22" xfId="2" applyFont="1" applyFill="1" applyBorder="1" applyAlignment="1">
      <alignment vertical="center" wrapText="1"/>
    </xf>
    <xf numFmtId="164" fontId="70" fillId="4" borderId="37" xfId="4" applyNumberFormat="1" applyFont="1" applyFill="1" applyBorder="1" applyAlignment="1">
      <alignment vertical="center" wrapText="1"/>
    </xf>
    <xf numFmtId="168" fontId="70" fillId="2" borderId="22" xfId="4" applyNumberFormat="1" applyFont="1" applyFill="1" applyBorder="1" applyAlignment="1">
      <alignment vertical="center"/>
    </xf>
    <xf numFmtId="168" fontId="69" fillId="0" borderId="0" xfId="4" applyNumberFormat="1" applyFont="1" applyAlignment="1">
      <alignment vertical="center"/>
    </xf>
    <xf numFmtId="168" fontId="70" fillId="0" borderId="0" xfId="4" applyNumberFormat="1" applyFont="1" applyAlignment="1">
      <alignment vertical="center"/>
    </xf>
    <xf numFmtId="168" fontId="70" fillId="4" borderId="22" xfId="4" applyNumberFormat="1" applyFont="1" applyFill="1" applyBorder="1" applyAlignment="1">
      <alignment vertical="center"/>
    </xf>
    <xf numFmtId="168" fontId="69" fillId="2" borderId="22" xfId="4" applyNumberFormat="1" applyFont="1" applyFill="1" applyBorder="1" applyAlignment="1">
      <alignment vertical="center"/>
    </xf>
    <xf numFmtId="168" fontId="53" fillId="0" borderId="0" xfId="0" applyNumberFormat="1" applyFont="1"/>
    <xf numFmtId="168" fontId="73" fillId="0" borderId="0" xfId="0" applyNumberFormat="1" applyFont="1"/>
    <xf numFmtId="168" fontId="74" fillId="0" borderId="0" xfId="0" applyNumberFormat="1" applyFont="1"/>
    <xf numFmtId="168" fontId="70" fillId="12" borderId="22" xfId="4" applyNumberFormat="1" applyFont="1" applyFill="1" applyBorder="1" applyAlignment="1">
      <alignment vertical="center"/>
    </xf>
    <xf numFmtId="164" fontId="69" fillId="2" borderId="22" xfId="3" applyNumberFormat="1" applyFont="1" applyFill="1" applyBorder="1" applyAlignment="1">
      <alignment vertical="center"/>
    </xf>
    <xf numFmtId="164" fontId="69" fillId="2" borderId="22" xfId="2" applyNumberFormat="1" applyFont="1" applyFill="1" applyBorder="1" applyAlignment="1">
      <alignment vertical="center"/>
    </xf>
    <xf numFmtId="0" fontId="66" fillId="6" borderId="39" xfId="0" applyFont="1" applyFill="1" applyBorder="1" applyAlignment="1">
      <alignment vertical="center"/>
    </xf>
    <xf numFmtId="0" fontId="65" fillId="6" borderId="39" xfId="0" applyFont="1" applyFill="1" applyBorder="1" applyAlignment="1">
      <alignment vertical="center"/>
    </xf>
    <xf numFmtId="164" fontId="65" fillId="6" borderId="39" xfId="0" applyNumberFormat="1" applyFont="1" applyFill="1" applyBorder="1" applyAlignment="1">
      <alignment vertical="center"/>
    </xf>
    <xf numFmtId="165" fontId="67" fillId="6" borderId="39" xfId="1" applyNumberFormat="1" applyFont="1" applyFill="1" applyBorder="1" applyAlignment="1">
      <alignment vertical="center"/>
    </xf>
    <xf numFmtId="43" fontId="34" fillId="0" borderId="38" xfId="1" applyNumberFormat="1" applyFont="1" applyFill="1" applyBorder="1" applyAlignment="1">
      <alignment horizontal="center" vertical="center"/>
    </xf>
    <xf numFmtId="43" fontId="34" fillId="0" borderId="39" xfId="1" applyNumberFormat="1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11" borderId="22" xfId="0" applyFont="1" applyFill="1" applyBorder="1" applyAlignment="1">
      <alignment horizontal="center" vertical="center"/>
    </xf>
    <xf numFmtId="0" fontId="36" fillId="11" borderId="36" xfId="0" applyFont="1" applyFill="1" applyBorder="1" applyAlignment="1">
      <alignment horizontal="center" vertical="top" wrapText="1"/>
    </xf>
    <xf numFmtId="0" fontId="36" fillId="11" borderId="40" xfId="0" applyFont="1" applyFill="1" applyBorder="1" applyAlignment="1">
      <alignment horizontal="center" vertical="top"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164" fontId="67" fillId="8" borderId="22" xfId="4" applyNumberFormat="1" applyFont="1" applyFill="1" applyBorder="1" applyAlignment="1">
      <alignment horizontal="center" vertical="center"/>
    </xf>
    <xf numFmtId="164" fontId="67" fillId="8" borderId="22" xfId="4" applyNumberFormat="1" applyFont="1" applyFill="1" applyBorder="1" applyAlignment="1">
      <alignment horizontal="center" vertical="center" wrapText="1"/>
    </xf>
    <xf numFmtId="9" fontId="67" fillId="8" borderId="22" xfId="3" applyFont="1" applyFill="1" applyBorder="1" applyAlignment="1">
      <alignment horizontal="center" vertical="center"/>
    </xf>
    <xf numFmtId="0" fontId="66" fillId="8" borderId="22" xfId="0" applyFont="1" applyFill="1" applyBorder="1" applyAlignment="1">
      <alignment horizontal="center" vertical="center" wrapText="1"/>
    </xf>
    <xf numFmtId="9" fontId="67" fillId="8" borderId="22" xfId="3" applyFont="1" applyFill="1" applyBorder="1" applyAlignment="1">
      <alignment horizontal="center" vertical="center" wrapText="1"/>
    </xf>
    <xf numFmtId="0" fontId="67" fillId="8" borderId="22" xfId="2" applyFont="1" applyFill="1" applyBorder="1" applyAlignment="1">
      <alignment horizontal="center" vertical="center" wrapText="1"/>
    </xf>
    <xf numFmtId="0" fontId="67" fillId="8" borderId="22" xfId="2" applyFont="1" applyFill="1" applyBorder="1" applyAlignment="1">
      <alignment horizontal="center" vertical="center"/>
    </xf>
    <xf numFmtId="164" fontId="68" fillId="0" borderId="38" xfId="1" applyNumberFormat="1" applyFont="1" applyFill="1" applyBorder="1" applyAlignment="1">
      <alignment horizontal="left" vertical="center" wrapText="1"/>
    </xf>
    <xf numFmtId="164" fontId="68" fillId="0" borderId="39" xfId="1" applyNumberFormat="1" applyFont="1" applyFill="1" applyBorder="1" applyAlignment="1">
      <alignment horizontal="left" vertical="center" wrapText="1"/>
    </xf>
    <xf numFmtId="164" fontId="68" fillId="0" borderId="27" xfId="1" applyNumberFormat="1" applyFont="1" applyFill="1" applyBorder="1" applyAlignment="1">
      <alignment horizontal="left" vertical="center" wrapText="1"/>
    </xf>
    <xf numFmtId="43" fontId="68" fillId="2" borderId="38" xfId="13" applyFont="1" applyFill="1" applyBorder="1" applyAlignment="1">
      <alignment horizontal="left" vertical="center" wrapText="1"/>
    </xf>
    <xf numFmtId="43" fontId="68" fillId="2" borderId="39" xfId="13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17" fillId="0" borderId="22" xfId="2" applyFont="1" applyBorder="1" applyAlignment="1">
      <alignment horizontal="center" vertical="center" wrapText="1"/>
    </xf>
    <xf numFmtId="164" fontId="17" fillId="0" borderId="3" xfId="4" applyNumberFormat="1" applyFont="1" applyBorder="1" applyAlignment="1">
      <alignment horizontal="center" vertical="center" wrapText="1"/>
    </xf>
    <xf numFmtId="164" fontId="17" fillId="0" borderId="27" xfId="4" applyNumberFormat="1" applyFont="1" applyBorder="1" applyAlignment="1">
      <alignment horizontal="center" vertical="center"/>
    </xf>
    <xf numFmtId="9" fontId="17" fillId="0" borderId="32" xfId="3" applyFont="1" applyBorder="1" applyAlignment="1">
      <alignment horizontal="center" vertical="center"/>
    </xf>
    <xf numFmtId="9" fontId="17" fillId="0" borderId="26" xfId="3" applyFont="1" applyBorder="1" applyAlignment="1">
      <alignment horizontal="center" vertical="center"/>
    </xf>
    <xf numFmtId="164" fontId="17" fillId="0" borderId="2" xfId="4" applyNumberFormat="1" applyFont="1" applyBorder="1" applyAlignment="1">
      <alignment horizontal="center" vertical="center"/>
    </xf>
    <xf numFmtId="164" fontId="17" fillId="0" borderId="9" xfId="4" applyNumberFormat="1" applyFont="1" applyBorder="1" applyAlignment="1">
      <alignment horizontal="center" vertical="center"/>
    </xf>
    <xf numFmtId="0" fontId="18" fillId="0" borderId="35" xfId="2" applyFont="1" applyBorder="1" applyAlignment="1">
      <alignment horizontal="center" vertical="center" wrapText="1"/>
    </xf>
    <xf numFmtId="0" fontId="18" fillId="0" borderId="31" xfId="2" applyFont="1" applyBorder="1" applyAlignment="1">
      <alignment horizontal="center" vertical="center" wrapText="1"/>
    </xf>
    <xf numFmtId="0" fontId="18" fillId="0" borderId="25" xfId="2" applyFont="1" applyBorder="1" applyAlignment="1">
      <alignment horizontal="center" vertical="center" wrapText="1"/>
    </xf>
    <xf numFmtId="0" fontId="56" fillId="0" borderId="38" xfId="2" applyFont="1" applyBorder="1" applyAlignment="1">
      <alignment horizontal="center" vertical="center" wrapText="1"/>
    </xf>
    <xf numFmtId="0" fontId="56" fillId="0" borderId="27" xfId="2" applyFont="1" applyBorder="1" applyAlignment="1">
      <alignment horizontal="center" vertical="center" wrapText="1"/>
    </xf>
    <xf numFmtId="0" fontId="56" fillId="0" borderId="39" xfId="2" applyFont="1" applyBorder="1" applyAlignment="1">
      <alignment horizontal="center" vertical="center" wrapText="1"/>
    </xf>
    <xf numFmtId="0" fontId="56" fillId="0" borderId="22" xfId="2" applyFont="1" applyBorder="1" applyAlignment="1">
      <alignment horizontal="center" vertical="center" wrapText="1"/>
    </xf>
    <xf numFmtId="164" fontId="22" fillId="0" borderId="0" xfId="4" applyNumberFormat="1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0" fontId="19" fillId="0" borderId="13" xfId="2" applyFont="1" applyBorder="1" applyAlignment="1">
      <alignment horizontal="center" vertical="center"/>
    </xf>
    <xf numFmtId="0" fontId="19" fillId="0" borderId="34" xfId="2" applyFont="1" applyBorder="1" applyAlignment="1">
      <alignment horizontal="center" vertical="center" wrapText="1"/>
    </xf>
    <xf numFmtId="0" fontId="19" fillId="0" borderId="29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164" fontId="19" fillId="0" borderId="6" xfId="4" applyNumberFormat="1" applyFont="1" applyBorder="1" applyAlignment="1">
      <alignment horizontal="center" vertical="center"/>
    </xf>
    <xf numFmtId="164" fontId="19" fillId="0" borderId="4" xfId="4" applyNumberFormat="1" applyFont="1" applyBorder="1" applyAlignment="1">
      <alignment horizontal="center" vertical="center"/>
    </xf>
    <xf numFmtId="164" fontId="19" fillId="0" borderId="5" xfId="4" applyNumberFormat="1" applyFont="1" applyBorder="1" applyAlignment="1">
      <alignment horizontal="center" vertical="center"/>
    </xf>
    <xf numFmtId="164" fontId="17" fillId="0" borderId="2" xfId="4" applyNumberFormat="1" applyFont="1" applyBorder="1" applyAlignment="1">
      <alignment horizontal="center" vertical="center" wrapText="1"/>
    </xf>
    <xf numFmtId="164" fontId="17" fillId="0" borderId="9" xfId="4" applyNumberFormat="1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 wrapText="1"/>
    </xf>
    <xf numFmtId="164" fontId="17" fillId="0" borderId="1" xfId="4" applyNumberFormat="1" applyFont="1" applyBorder="1" applyAlignment="1">
      <alignment horizontal="center" vertical="center" wrapText="1"/>
    </xf>
    <xf numFmtId="164" fontId="17" fillId="0" borderId="7" xfId="4" applyNumberFormat="1" applyFont="1" applyBorder="1" applyAlignment="1">
      <alignment horizontal="center" vertical="center" wrapText="1"/>
    </xf>
    <xf numFmtId="164" fontId="21" fillId="0" borderId="4" xfId="4" applyNumberFormat="1" applyFont="1" applyBorder="1" applyAlignment="1">
      <alignment horizontal="center" vertical="center" wrapText="1"/>
    </xf>
    <xf numFmtId="164" fontId="21" fillId="0" borderId="6" xfId="4" applyNumberFormat="1" applyFont="1" applyBorder="1" applyAlignment="1">
      <alignment horizontal="center" vertical="center" wrapText="1"/>
    </xf>
    <xf numFmtId="164" fontId="21" fillId="0" borderId="5" xfId="4" applyNumberFormat="1" applyFont="1" applyBorder="1" applyAlignment="1">
      <alignment horizontal="center" vertical="center" wrapText="1"/>
    </xf>
    <xf numFmtId="9" fontId="17" fillId="0" borderId="8" xfId="3" applyFont="1" applyBorder="1" applyAlignment="1">
      <alignment horizontal="center" vertical="center" wrapText="1"/>
    </xf>
    <xf numFmtId="9" fontId="17" fillId="0" borderId="10" xfId="3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27" xfId="2" applyFont="1" applyBorder="1" applyAlignment="1">
      <alignment horizontal="center" vertical="center"/>
    </xf>
    <xf numFmtId="9" fontId="17" fillId="0" borderId="34" xfId="3" applyFont="1" applyBorder="1" applyAlignment="1">
      <alignment horizontal="center" vertical="center"/>
    </xf>
    <xf numFmtId="9" fontId="17" fillId="0" borderId="29" xfId="3" applyFont="1" applyBorder="1" applyAlignment="1">
      <alignment horizontal="center" vertical="center"/>
    </xf>
    <xf numFmtId="164" fontId="17" fillId="0" borderId="33" xfId="4" applyNumberFormat="1" applyFont="1" applyBorder="1" applyAlignment="1">
      <alignment horizontal="center" vertical="center" wrapText="1"/>
    </xf>
    <xf numFmtId="164" fontId="17" fillId="0" borderId="28" xfId="4" applyNumberFormat="1" applyFont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 wrapText="1"/>
    </xf>
    <xf numFmtId="164" fontId="9" fillId="0" borderId="0" xfId="1" applyNumberFormat="1" applyFont="1" applyFill="1" applyAlignment="1">
      <alignment horizontal="center" vertical="center"/>
    </xf>
    <xf numFmtId="164" fontId="9" fillId="0" borderId="0" xfId="1" applyNumberFormat="1" applyFont="1" applyFill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13" xfId="1" applyNumberFormat="1" applyFont="1" applyFill="1" applyBorder="1" applyAlignment="1">
      <alignment horizontal="center" vertical="center" wrapText="1"/>
    </xf>
    <xf numFmtId="0" fontId="69" fillId="2" borderId="38" xfId="2" applyFont="1" applyFill="1" applyBorder="1" applyAlignment="1">
      <alignment horizontal="left" vertical="center" wrapText="1"/>
    </xf>
    <xf numFmtId="0" fontId="69" fillId="2" borderId="27" xfId="2" applyFont="1" applyFill="1" applyBorder="1" applyAlignment="1">
      <alignment horizontal="left" vertical="center" wrapText="1"/>
    </xf>
    <xf numFmtId="0" fontId="69" fillId="2" borderId="39" xfId="2" applyFont="1" applyFill="1" applyBorder="1" applyAlignment="1">
      <alignment horizontal="left" vertical="center" wrapText="1"/>
    </xf>
    <xf numFmtId="164" fontId="70" fillId="12" borderId="36" xfId="4" applyNumberFormat="1" applyFont="1" applyFill="1" applyBorder="1" applyAlignment="1">
      <alignment horizontal="left" vertical="center" wrapText="1"/>
    </xf>
    <xf numFmtId="164" fontId="70" fillId="12" borderId="37" xfId="4" applyNumberFormat="1" applyFont="1" applyFill="1" applyBorder="1" applyAlignment="1">
      <alignment horizontal="left" vertical="center" wrapText="1"/>
    </xf>
    <xf numFmtId="0" fontId="70" fillId="14" borderId="22" xfId="2" applyFont="1" applyFill="1" applyBorder="1" applyAlignment="1">
      <alignment horizontal="center" vertical="center"/>
    </xf>
    <xf numFmtId="9" fontId="70" fillId="14" borderId="22" xfId="3" applyFont="1" applyFill="1" applyBorder="1" applyAlignment="1">
      <alignment horizontal="center" vertical="center"/>
    </xf>
    <xf numFmtId="164" fontId="70" fillId="14" borderId="22" xfId="4" applyNumberFormat="1" applyFont="1" applyFill="1" applyBorder="1" applyAlignment="1">
      <alignment horizontal="center" vertical="center" wrapText="1"/>
    </xf>
    <xf numFmtId="164" fontId="70" fillId="14" borderId="22" xfId="4" applyNumberFormat="1" applyFont="1" applyFill="1" applyBorder="1" applyAlignment="1">
      <alignment horizontal="center" vertical="center"/>
    </xf>
    <xf numFmtId="0" fontId="70" fillId="14" borderId="22" xfId="2" applyFont="1" applyFill="1" applyBorder="1" applyAlignment="1">
      <alignment horizontal="center" vertical="center" wrapText="1"/>
    </xf>
    <xf numFmtId="168" fontId="70" fillId="14" borderId="22" xfId="4" applyNumberFormat="1" applyFont="1" applyFill="1" applyBorder="1" applyAlignment="1">
      <alignment horizontal="center" vertical="center" wrapText="1"/>
    </xf>
    <xf numFmtId="9" fontId="70" fillId="14" borderId="22" xfId="3" applyFont="1" applyFill="1" applyBorder="1" applyAlignment="1">
      <alignment horizontal="center" vertical="center" wrapText="1"/>
    </xf>
    <xf numFmtId="164" fontId="70" fillId="0" borderId="0" xfId="4" applyNumberFormat="1" applyFont="1" applyBorder="1" applyAlignment="1">
      <alignment horizontal="center" vertical="center"/>
    </xf>
    <xf numFmtId="0" fontId="70" fillId="6" borderId="22" xfId="2" applyFont="1" applyFill="1" applyBorder="1" applyAlignment="1">
      <alignment horizontal="center" vertical="center"/>
    </xf>
    <xf numFmtId="0" fontId="70" fillId="6" borderId="22" xfId="2" applyFont="1" applyFill="1" applyBorder="1" applyAlignment="1">
      <alignment horizontal="center" vertical="center" wrapText="1"/>
    </xf>
    <xf numFmtId="164" fontId="70" fillId="6" borderId="22" xfId="4" applyNumberFormat="1" applyFont="1" applyFill="1" applyBorder="1" applyAlignment="1">
      <alignment horizontal="center" vertical="center"/>
    </xf>
    <xf numFmtId="9" fontId="70" fillId="6" borderId="22" xfId="3" applyFont="1" applyFill="1" applyBorder="1" applyAlignment="1">
      <alignment horizontal="center" vertical="center"/>
    </xf>
    <xf numFmtId="164" fontId="70" fillId="6" borderId="22" xfId="4" applyNumberFormat="1" applyFont="1" applyFill="1" applyBorder="1" applyAlignment="1">
      <alignment horizontal="center" vertical="center" wrapText="1"/>
    </xf>
    <xf numFmtId="9" fontId="70" fillId="6" borderId="22" xfId="3" applyFont="1" applyFill="1" applyBorder="1" applyAlignment="1">
      <alignment horizontal="center" vertical="center" wrapText="1"/>
    </xf>
  </cellXfs>
  <cellStyles count="18">
    <cellStyle name="Comma" xfId="1" builtinId="3"/>
    <cellStyle name="Comma 10 5" xfId="6"/>
    <cellStyle name="Comma 2" xfId="4"/>
    <cellStyle name="Comma 2 2" xfId="5"/>
    <cellStyle name="Comma 2 2 2" xfId="13"/>
    <cellStyle name="Comma 2 2_ompong-SARO-BMB-E-19-0012554" xfId="15"/>
    <cellStyle name="Comma 2 3" xfId="9"/>
    <cellStyle name="Comma 2 4" xfId="17"/>
    <cellStyle name="Comma 2 5" xfId="16"/>
    <cellStyle name="Comma 3" xfId="11"/>
    <cellStyle name="Comma 4" xfId="8"/>
    <cellStyle name="Comma 6 2 4" xfId="7"/>
    <cellStyle name="Normal" xfId="0" builtinId="0"/>
    <cellStyle name="Normal 2" xfId="2"/>
    <cellStyle name="Normal 2 2" xfId="12"/>
    <cellStyle name="Normal 3" xfId="10"/>
    <cellStyle name="Normal 4" xfId="1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tabSelected="1" view="pageBreakPreview" zoomScale="69" zoomScaleNormal="69" zoomScaleSheetLayoutView="69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183" sqref="A183"/>
    </sheetView>
  </sheetViews>
  <sheetFormatPr defaultColWidth="9.140625" defaultRowHeight="16.5"/>
  <cols>
    <col min="1" max="1" width="54.140625" style="130" customWidth="1"/>
    <col min="2" max="2" width="13.85546875" style="130" customWidth="1"/>
    <col min="3" max="3" width="14.140625" style="130" customWidth="1"/>
    <col min="4" max="4" width="10.5703125" style="130" customWidth="1"/>
    <col min="5" max="5" width="10.28515625" style="130" customWidth="1"/>
    <col min="6" max="6" width="13.42578125" style="130" hidden="1" customWidth="1"/>
    <col min="7" max="7" width="2.85546875" style="130" hidden="1" customWidth="1"/>
    <col min="8" max="8" width="17.42578125" style="130" customWidth="1"/>
    <col min="9" max="9" width="16.85546875" style="130" customWidth="1"/>
    <col min="10" max="10" width="16" style="130" customWidth="1"/>
    <col min="11" max="11" width="13.42578125" style="130" customWidth="1"/>
    <col min="12" max="12" width="17.28515625" style="130" customWidth="1"/>
    <col min="13" max="13" width="13.42578125" style="130" customWidth="1"/>
    <col min="14" max="14" width="39.28515625" style="130" customWidth="1"/>
    <col min="15" max="16384" width="9.140625" style="121"/>
  </cols>
  <sheetData>
    <row r="1" spans="1:14">
      <c r="A1" s="130" t="s">
        <v>160</v>
      </c>
    </row>
    <row r="2" spans="1:14">
      <c r="A2" s="131" t="s">
        <v>161</v>
      </c>
      <c r="F2" s="132"/>
    </row>
    <row r="3" spans="1:14">
      <c r="A3" s="191" t="s">
        <v>332</v>
      </c>
      <c r="F3" s="132"/>
    </row>
    <row r="4" spans="1:14">
      <c r="A4" s="191" t="s">
        <v>366</v>
      </c>
      <c r="F4" s="132"/>
    </row>
    <row r="5" spans="1:14">
      <c r="A5" s="162" t="s">
        <v>452</v>
      </c>
    </row>
    <row r="6" spans="1:14">
      <c r="A6" s="129"/>
    </row>
    <row r="7" spans="1:14" ht="24.6" customHeight="1">
      <c r="A7" s="503" t="s">
        <v>162</v>
      </c>
      <c r="B7" s="503" t="s">
        <v>163</v>
      </c>
      <c r="C7" s="508" t="s">
        <v>329</v>
      </c>
      <c r="D7" s="509"/>
      <c r="E7" s="509"/>
      <c r="F7" s="181"/>
      <c r="G7" s="181"/>
      <c r="H7" s="509" t="s">
        <v>330</v>
      </c>
      <c r="I7" s="509"/>
      <c r="J7" s="509"/>
      <c r="K7" s="509"/>
      <c r="L7" s="509"/>
      <c r="M7" s="509"/>
      <c r="N7" s="507" t="s">
        <v>111</v>
      </c>
    </row>
    <row r="8" spans="1:14" ht="24" customHeight="1">
      <c r="A8" s="503"/>
      <c r="B8" s="503"/>
      <c r="C8" s="503" t="s">
        <v>327</v>
      </c>
      <c r="D8" s="510" t="s">
        <v>152</v>
      </c>
      <c r="E8" s="511"/>
      <c r="F8" s="158"/>
      <c r="G8" s="159"/>
      <c r="H8" s="512" t="s">
        <v>328</v>
      </c>
      <c r="I8" s="504" t="s">
        <v>108</v>
      </c>
      <c r="J8" s="504"/>
      <c r="K8" s="504"/>
      <c r="L8" s="505" t="s">
        <v>3</v>
      </c>
      <c r="M8" s="506"/>
      <c r="N8" s="507"/>
    </row>
    <row r="9" spans="1:14" ht="31.5" customHeight="1">
      <c r="A9" s="503"/>
      <c r="B9" s="503"/>
      <c r="C9" s="514"/>
      <c r="D9" s="277" t="s">
        <v>107</v>
      </c>
      <c r="E9" s="277" t="s">
        <v>6</v>
      </c>
      <c r="F9" s="275" t="s">
        <v>164</v>
      </c>
      <c r="G9" s="275" t="s">
        <v>165</v>
      </c>
      <c r="H9" s="513"/>
      <c r="I9" s="274" t="s">
        <v>331</v>
      </c>
      <c r="J9" s="274" t="s">
        <v>159</v>
      </c>
      <c r="K9" s="275" t="s">
        <v>6</v>
      </c>
      <c r="L9" s="278" t="s">
        <v>104</v>
      </c>
      <c r="M9" s="276" t="s">
        <v>6</v>
      </c>
      <c r="N9" s="507"/>
    </row>
    <row r="10" spans="1:14" ht="16.5" hidden="1" customHeight="1">
      <c r="A10" s="133"/>
      <c r="B10" s="133"/>
      <c r="C10" s="133"/>
      <c r="D10" s="133"/>
      <c r="E10" s="133"/>
      <c r="F10" s="133"/>
      <c r="G10" s="133"/>
      <c r="H10" s="160"/>
      <c r="I10" s="133"/>
      <c r="J10" s="133"/>
      <c r="K10" s="133"/>
      <c r="L10" s="133"/>
      <c r="M10" s="161"/>
      <c r="N10" s="133"/>
    </row>
    <row r="11" spans="1:14" ht="16.5" customHeight="1">
      <c r="A11" s="134" t="s">
        <v>166</v>
      </c>
      <c r="B11" s="134"/>
      <c r="C11" s="210">
        <f>C12</f>
        <v>9</v>
      </c>
      <c r="D11" s="210">
        <f>D12</f>
        <v>2</v>
      </c>
      <c r="E11" s="210">
        <f>D11/C11*100</f>
        <v>22.222222222222221</v>
      </c>
      <c r="F11" s="210">
        <f>F12</f>
        <v>0</v>
      </c>
      <c r="G11" s="210">
        <f>G12</f>
        <v>79999.989999999991</v>
      </c>
      <c r="H11" s="200">
        <f>H12</f>
        <v>80000</v>
      </c>
      <c r="I11" s="211">
        <f>I12</f>
        <v>17697.064999999999</v>
      </c>
      <c r="J11" s="211">
        <f>J12</f>
        <v>62524.192000000003</v>
      </c>
      <c r="K11" s="200">
        <f>I11/H11*100</f>
        <v>22.121331249999997</v>
      </c>
      <c r="L11" s="211">
        <f>L12</f>
        <v>6455.0299999999988</v>
      </c>
      <c r="M11" s="201">
        <f>L11/I11*100</f>
        <v>36.475144324779272</v>
      </c>
      <c r="N11" s="135"/>
    </row>
    <row r="12" spans="1:14">
      <c r="A12" s="287" t="s">
        <v>167</v>
      </c>
      <c r="B12" s="279"/>
      <c r="C12" s="288">
        <f>SUM(C13:C22)</f>
        <v>9</v>
      </c>
      <c r="D12" s="288">
        <f>SUM(D13:D22)</f>
        <v>2</v>
      </c>
      <c r="E12" s="288">
        <f>D12/C12*100</f>
        <v>22.222222222222221</v>
      </c>
      <c r="F12" s="288"/>
      <c r="G12" s="288">
        <f>SUM(G13:G22)</f>
        <v>79999.989999999991</v>
      </c>
      <c r="H12" s="289">
        <f>SUM(H13:H22)</f>
        <v>80000</v>
      </c>
      <c r="I12" s="290">
        <f>SUM(I13:I22)</f>
        <v>17697.064999999999</v>
      </c>
      <c r="J12" s="290">
        <f>SUM(J13:J22)</f>
        <v>62524.192000000003</v>
      </c>
      <c r="K12" s="289">
        <f>I12/H12*100</f>
        <v>22.121331249999997</v>
      </c>
      <c r="L12" s="290">
        <f>SUM(L13:L22)</f>
        <v>6455.0299999999988</v>
      </c>
      <c r="M12" s="291">
        <f>L12/I12*100</f>
        <v>36.475144324779272</v>
      </c>
      <c r="N12" s="292"/>
    </row>
    <row r="13" spans="1:14" ht="39.75" customHeight="1">
      <c r="A13" s="444" t="s">
        <v>168</v>
      </c>
      <c r="B13" s="280"/>
      <c r="C13" s="293">
        <v>1</v>
      </c>
      <c r="D13" s="293"/>
      <c r="E13" s="293"/>
      <c r="F13" s="293"/>
      <c r="G13" s="293">
        <v>4863</v>
      </c>
      <c r="H13" s="294">
        <v>4863</v>
      </c>
      <c r="I13" s="295">
        <v>4210.7049999999999</v>
      </c>
      <c r="J13" s="295">
        <f>H13-I13</f>
        <v>652.29500000000007</v>
      </c>
      <c r="K13" s="294">
        <f>I13/H13*100</f>
        <v>86.586572074850906</v>
      </c>
      <c r="L13" s="294">
        <v>1760.6</v>
      </c>
      <c r="M13" s="296">
        <f>SUM(L13/I13)*100</f>
        <v>41.812475583067446</v>
      </c>
      <c r="N13" s="297" t="s">
        <v>443</v>
      </c>
    </row>
    <row r="14" spans="1:14" ht="12" hidden="1" customHeight="1">
      <c r="A14" s="444" t="s">
        <v>403</v>
      </c>
      <c r="B14" s="280"/>
      <c r="C14" s="293"/>
      <c r="D14" s="293"/>
      <c r="E14" s="293"/>
      <c r="F14" s="293"/>
      <c r="G14" s="293"/>
      <c r="H14" s="295"/>
      <c r="I14" s="295"/>
      <c r="J14" s="295"/>
      <c r="K14" s="295"/>
      <c r="L14" s="295"/>
      <c r="M14" s="296"/>
      <c r="N14" s="297" t="s">
        <v>368</v>
      </c>
    </row>
    <row r="15" spans="1:14" ht="45">
      <c r="A15" s="445" t="s">
        <v>390</v>
      </c>
      <c r="B15" s="280"/>
      <c r="C15" s="293">
        <v>1</v>
      </c>
      <c r="D15" s="293"/>
      <c r="E15" s="293"/>
      <c r="F15" s="293"/>
      <c r="G15" s="293">
        <v>6340.84</v>
      </c>
      <c r="H15" s="294">
        <v>6340.84</v>
      </c>
      <c r="I15" s="295">
        <v>3855.7130000000002</v>
      </c>
      <c r="J15" s="295">
        <f t="shared" ref="J15:J22" si="0">H15-I15</f>
        <v>2485.127</v>
      </c>
      <c r="K15" s="294">
        <f t="shared" ref="K15:K23" si="1">I15/H15*100</f>
        <v>60.80760593233704</v>
      </c>
      <c r="L15" s="294">
        <v>1446.47</v>
      </c>
      <c r="M15" s="296">
        <f>SUM(L15/I15)*100</f>
        <v>37.514981016481258</v>
      </c>
      <c r="N15" s="297" t="s">
        <v>454</v>
      </c>
    </row>
    <row r="16" spans="1:14" ht="59.25" customHeight="1">
      <c r="A16" s="445" t="s">
        <v>389</v>
      </c>
      <c r="B16" s="280"/>
      <c r="C16" s="293">
        <v>1</v>
      </c>
      <c r="D16" s="293">
        <v>1</v>
      </c>
      <c r="E16" s="293">
        <v>100</v>
      </c>
      <c r="F16" s="293"/>
      <c r="G16" s="293">
        <v>3757.15</v>
      </c>
      <c r="H16" s="501">
        <v>3757.16</v>
      </c>
      <c r="I16" s="295">
        <v>3114.424</v>
      </c>
      <c r="J16" s="295">
        <f t="shared" si="0"/>
        <v>642.73599999999988</v>
      </c>
      <c r="K16" s="294">
        <f t="shared" si="1"/>
        <v>82.893036229492495</v>
      </c>
      <c r="L16" s="294">
        <v>1852.9</v>
      </c>
      <c r="M16" s="296">
        <f>SUM(L16/I16)*100</f>
        <v>59.494147232361428</v>
      </c>
      <c r="N16" s="297" t="s">
        <v>428</v>
      </c>
    </row>
    <row r="17" spans="1:15" ht="33" customHeight="1">
      <c r="A17" s="417" t="s">
        <v>403</v>
      </c>
      <c r="B17" s="280"/>
      <c r="C17" s="293">
        <v>1</v>
      </c>
      <c r="D17" s="293"/>
      <c r="E17" s="293"/>
      <c r="F17" s="293"/>
      <c r="G17" s="293"/>
      <c r="H17" s="502"/>
      <c r="I17" s="295">
        <v>221.25700000000001</v>
      </c>
      <c r="J17" s="295"/>
      <c r="K17" s="295">
        <v>100</v>
      </c>
      <c r="L17" s="295"/>
      <c r="M17" s="296"/>
      <c r="N17" s="297" t="s">
        <v>368</v>
      </c>
    </row>
    <row r="18" spans="1:15" ht="33.75" customHeight="1">
      <c r="A18" s="444" t="s">
        <v>169</v>
      </c>
      <c r="B18" s="280"/>
      <c r="C18" s="293">
        <v>1</v>
      </c>
      <c r="D18" s="293">
        <v>1</v>
      </c>
      <c r="E18" s="293">
        <f>D18/C18*100</f>
        <v>100</v>
      </c>
      <c r="F18" s="293"/>
      <c r="G18" s="293">
        <v>724</v>
      </c>
      <c r="H18" s="294">
        <v>724</v>
      </c>
      <c r="I18" s="295">
        <v>197.358</v>
      </c>
      <c r="J18" s="295">
        <f t="shared" si="0"/>
        <v>526.64200000000005</v>
      </c>
      <c r="K18" s="294">
        <f t="shared" si="1"/>
        <v>27.259392265193373</v>
      </c>
      <c r="L18" s="294">
        <v>197.36</v>
      </c>
      <c r="M18" s="296">
        <f>SUM(L18/I18)*100</f>
        <v>100.00101338684016</v>
      </c>
      <c r="N18" s="297" t="s">
        <v>78</v>
      </c>
      <c r="O18" s="456"/>
    </row>
    <row r="19" spans="1:15" ht="69" customHeight="1">
      <c r="A19" s="444" t="s">
        <v>170</v>
      </c>
      <c r="B19" s="280"/>
      <c r="C19" s="293">
        <v>1</v>
      </c>
      <c r="D19" s="293"/>
      <c r="E19" s="293"/>
      <c r="F19" s="293"/>
      <c r="G19" s="293">
        <v>1466</v>
      </c>
      <c r="H19" s="294">
        <v>1466</v>
      </c>
      <c r="I19" s="295">
        <v>1283.683</v>
      </c>
      <c r="J19" s="295">
        <f t="shared" si="0"/>
        <v>182.31700000000001</v>
      </c>
      <c r="K19" s="294">
        <f>I19/H19*100</f>
        <v>87.56364256480218</v>
      </c>
      <c r="L19" s="294"/>
      <c r="M19" s="296"/>
      <c r="N19" s="297" t="s">
        <v>455</v>
      </c>
    </row>
    <row r="20" spans="1:15" ht="35.25" customHeight="1">
      <c r="A20" s="444" t="s">
        <v>171</v>
      </c>
      <c r="B20" s="280"/>
      <c r="C20" s="293">
        <v>1</v>
      </c>
      <c r="D20" s="293"/>
      <c r="E20" s="293"/>
      <c r="F20" s="293"/>
      <c r="G20" s="293">
        <v>1229</v>
      </c>
      <c r="H20" s="294">
        <v>1229</v>
      </c>
      <c r="I20" s="295">
        <v>606.60500000000002</v>
      </c>
      <c r="J20" s="295">
        <f t="shared" si="0"/>
        <v>622.39499999999998</v>
      </c>
      <c r="K20" s="294">
        <f t="shared" si="1"/>
        <v>49.357607811228647</v>
      </c>
      <c r="L20" s="294"/>
      <c r="M20" s="296"/>
      <c r="N20" s="297" t="s">
        <v>412</v>
      </c>
    </row>
    <row r="21" spans="1:15" ht="57" customHeight="1">
      <c r="A21" s="444" t="s">
        <v>172</v>
      </c>
      <c r="B21" s="280"/>
      <c r="C21" s="293">
        <v>1</v>
      </c>
      <c r="D21" s="293"/>
      <c r="E21" s="293"/>
      <c r="F21" s="293"/>
      <c r="G21" s="293">
        <v>4620</v>
      </c>
      <c r="H21" s="294">
        <v>4620</v>
      </c>
      <c r="I21" s="295">
        <v>4207.32</v>
      </c>
      <c r="J21" s="295">
        <f t="shared" si="0"/>
        <v>412.68000000000029</v>
      </c>
      <c r="K21" s="294">
        <f t="shared" si="1"/>
        <v>91.067532467532459</v>
      </c>
      <c r="L21" s="294">
        <v>1197.7</v>
      </c>
      <c r="M21" s="296">
        <f>SUM(L21/I21)*100</f>
        <v>28.467052660601048</v>
      </c>
      <c r="N21" s="297" t="s">
        <v>456</v>
      </c>
    </row>
    <row r="22" spans="1:15" ht="45">
      <c r="A22" s="417" t="s">
        <v>173</v>
      </c>
      <c r="B22" s="280"/>
      <c r="C22" s="293">
        <v>1</v>
      </c>
      <c r="D22" s="293"/>
      <c r="E22" s="293"/>
      <c r="F22" s="293"/>
      <c r="G22" s="293">
        <v>57000</v>
      </c>
      <c r="H22" s="295">
        <v>57000</v>
      </c>
      <c r="I22" s="295"/>
      <c r="J22" s="295">
        <f t="shared" si="0"/>
        <v>57000</v>
      </c>
      <c r="K22" s="295">
        <f t="shared" si="1"/>
        <v>0</v>
      </c>
      <c r="L22" s="295"/>
      <c r="M22" s="296"/>
      <c r="N22" s="297" t="s">
        <v>413</v>
      </c>
    </row>
    <row r="23" spans="1:15">
      <c r="A23" s="298" t="s">
        <v>119</v>
      </c>
      <c r="B23" s="298"/>
      <c r="C23" s="431">
        <f>C120+C199</f>
        <v>58</v>
      </c>
      <c r="D23" s="431">
        <f>D120+D199</f>
        <v>38</v>
      </c>
      <c r="E23" s="299">
        <f>D23/C23*100</f>
        <v>65.517241379310349</v>
      </c>
      <c r="F23" s="299" t="e">
        <f>F24+F120+F199+F117</f>
        <v>#REF!</v>
      </c>
      <c r="G23" s="299" t="e">
        <f>G24+G120+G199+G117</f>
        <v>#REF!</v>
      </c>
      <c r="H23" s="301">
        <f>H120+H199</f>
        <v>120000</v>
      </c>
      <c r="I23" s="301">
        <f>I120+I199</f>
        <v>119297.281</v>
      </c>
      <c r="J23" s="301">
        <f>J120+J199</f>
        <v>702.71899999999732</v>
      </c>
      <c r="K23" s="300">
        <f t="shared" si="1"/>
        <v>99.414400833333332</v>
      </c>
      <c r="L23" s="301">
        <f>L120+L199</f>
        <v>70888.210000000006</v>
      </c>
      <c r="M23" s="414">
        <f>SUM(L23/I23)*100</f>
        <v>59.421480025181808</v>
      </c>
      <c r="N23" s="299"/>
    </row>
    <row r="24" spans="1:15" ht="33" hidden="1" customHeight="1">
      <c r="A24" s="136" t="s">
        <v>174</v>
      </c>
      <c r="B24" s="302"/>
      <c r="C24" s="303"/>
      <c r="D24" s="303"/>
      <c r="E24" s="303"/>
      <c r="F24" s="303">
        <f>F25+F37+F50+F86</f>
        <v>0</v>
      </c>
      <c r="G24" s="303">
        <f>G25+G37+G50+G86</f>
        <v>0</v>
      </c>
      <c r="H24" s="304">
        <v>0</v>
      </c>
      <c r="I24" s="305"/>
      <c r="J24" s="305"/>
      <c r="K24" s="304"/>
      <c r="L24" s="304"/>
      <c r="M24" s="306"/>
      <c r="N24" s="303"/>
    </row>
    <row r="25" spans="1:15" ht="16.5" hidden="1" customHeight="1">
      <c r="A25" s="279" t="s">
        <v>175</v>
      </c>
      <c r="B25" s="279"/>
      <c r="C25" s="288"/>
      <c r="D25" s="288"/>
      <c r="E25" s="288"/>
      <c r="F25" s="288">
        <f>+F26+F30+F35</f>
        <v>0</v>
      </c>
      <c r="G25" s="288">
        <f>+G26+G30+G35</f>
        <v>0</v>
      </c>
      <c r="H25" s="289">
        <v>0</v>
      </c>
      <c r="I25" s="290"/>
      <c r="J25" s="290"/>
      <c r="K25" s="289"/>
      <c r="L25" s="289"/>
      <c r="M25" s="291"/>
      <c r="N25" s="288"/>
    </row>
    <row r="26" spans="1:15" ht="16.5" hidden="1" customHeight="1">
      <c r="A26" s="280" t="s">
        <v>103</v>
      </c>
      <c r="B26" s="307"/>
      <c r="C26" s="308">
        <f>SUM(C28:C29)</f>
        <v>0</v>
      </c>
      <c r="D26" s="308"/>
      <c r="E26" s="308"/>
      <c r="F26" s="308">
        <f>SUM(F28:F29)</f>
        <v>0</v>
      </c>
      <c r="G26" s="308">
        <f>SUM(G28:G29)</f>
        <v>0</v>
      </c>
      <c r="H26" s="309">
        <v>0</v>
      </c>
      <c r="I26" s="310"/>
      <c r="J26" s="310"/>
      <c r="K26" s="309"/>
      <c r="L26" s="309"/>
      <c r="M26" s="311"/>
      <c r="N26" s="308"/>
    </row>
    <row r="27" spans="1:15" ht="16.5" hidden="1" customHeight="1">
      <c r="A27" s="280" t="s">
        <v>176</v>
      </c>
      <c r="B27" s="307" t="s">
        <v>94</v>
      </c>
      <c r="C27" s="308"/>
      <c r="D27" s="308"/>
      <c r="E27" s="308"/>
      <c r="F27" s="308"/>
      <c r="G27" s="308"/>
      <c r="H27" s="309"/>
      <c r="I27" s="310"/>
      <c r="J27" s="310"/>
      <c r="K27" s="309"/>
      <c r="L27" s="309"/>
      <c r="M27" s="311"/>
      <c r="N27" s="308"/>
    </row>
    <row r="28" spans="1:15" ht="16.5" hidden="1" customHeight="1">
      <c r="A28" s="281" t="s">
        <v>177</v>
      </c>
      <c r="B28" s="312" t="s">
        <v>141</v>
      </c>
      <c r="C28" s="313"/>
      <c r="D28" s="313"/>
      <c r="E28" s="313"/>
      <c r="F28" s="313"/>
      <c r="G28" s="313"/>
      <c r="H28" s="314">
        <v>0</v>
      </c>
      <c r="I28" s="310"/>
      <c r="J28" s="315"/>
      <c r="K28" s="314"/>
      <c r="L28" s="314"/>
      <c r="M28" s="316"/>
      <c r="N28" s="313"/>
    </row>
    <row r="29" spans="1:15" ht="16.5" hidden="1" customHeight="1">
      <c r="A29" s="280" t="s">
        <v>102</v>
      </c>
      <c r="B29" s="307" t="s">
        <v>178</v>
      </c>
      <c r="C29" s="308"/>
      <c r="D29" s="308"/>
      <c r="E29" s="308"/>
      <c r="F29" s="308"/>
      <c r="G29" s="308"/>
      <c r="H29" s="309"/>
      <c r="I29" s="310"/>
      <c r="J29" s="310"/>
      <c r="K29" s="309"/>
      <c r="L29" s="309"/>
      <c r="M29" s="311"/>
      <c r="N29" s="308"/>
    </row>
    <row r="30" spans="1:15" ht="16.5" hidden="1" customHeight="1">
      <c r="A30" s="280" t="s">
        <v>179</v>
      </c>
      <c r="B30" s="307"/>
      <c r="C30" s="308"/>
      <c r="D30" s="308"/>
      <c r="E30" s="308"/>
      <c r="F30" s="308">
        <f>SUM(F31:F34)</f>
        <v>0</v>
      </c>
      <c r="G30" s="308">
        <f>SUM(G31:G34)</f>
        <v>0</v>
      </c>
      <c r="H30" s="309">
        <v>0</v>
      </c>
      <c r="I30" s="310"/>
      <c r="J30" s="310"/>
      <c r="K30" s="309"/>
      <c r="L30" s="309"/>
      <c r="M30" s="311"/>
      <c r="N30" s="308"/>
    </row>
    <row r="31" spans="1:15" ht="16.5" hidden="1" customHeight="1">
      <c r="A31" s="280" t="s">
        <v>180</v>
      </c>
      <c r="B31" s="307" t="s">
        <v>181</v>
      </c>
      <c r="C31" s="308"/>
      <c r="D31" s="308"/>
      <c r="E31" s="308"/>
      <c r="F31" s="308"/>
      <c r="G31" s="308"/>
      <c r="H31" s="309"/>
      <c r="I31" s="310"/>
      <c r="J31" s="310"/>
      <c r="K31" s="309"/>
      <c r="L31" s="309"/>
      <c r="M31" s="311"/>
      <c r="N31" s="308"/>
    </row>
    <row r="32" spans="1:15" ht="16.5" hidden="1" customHeight="1">
      <c r="A32" s="280" t="s">
        <v>182</v>
      </c>
      <c r="B32" s="307" t="s">
        <v>181</v>
      </c>
      <c r="C32" s="308"/>
      <c r="D32" s="308"/>
      <c r="E32" s="308"/>
      <c r="F32" s="308"/>
      <c r="G32" s="308"/>
      <c r="H32" s="309"/>
      <c r="I32" s="310"/>
      <c r="J32" s="310"/>
      <c r="K32" s="309"/>
      <c r="L32" s="309"/>
      <c r="M32" s="311"/>
      <c r="N32" s="308"/>
    </row>
    <row r="33" spans="1:14" ht="16.5" hidden="1" customHeight="1">
      <c r="A33" s="280" t="s">
        <v>183</v>
      </c>
      <c r="B33" s="307" t="s">
        <v>181</v>
      </c>
      <c r="C33" s="308"/>
      <c r="D33" s="308"/>
      <c r="E33" s="308"/>
      <c r="F33" s="308"/>
      <c r="G33" s="308"/>
      <c r="H33" s="309"/>
      <c r="I33" s="310"/>
      <c r="J33" s="310"/>
      <c r="K33" s="309"/>
      <c r="L33" s="309"/>
      <c r="M33" s="311"/>
      <c r="N33" s="308"/>
    </row>
    <row r="34" spans="1:14" ht="16.5" hidden="1" customHeight="1">
      <c r="A34" s="281" t="s">
        <v>184</v>
      </c>
      <c r="B34" s="312" t="s">
        <v>117</v>
      </c>
      <c r="C34" s="313"/>
      <c r="D34" s="313"/>
      <c r="E34" s="313"/>
      <c r="F34" s="313"/>
      <c r="G34" s="313"/>
      <c r="H34" s="314"/>
      <c r="I34" s="310"/>
      <c r="J34" s="315"/>
      <c r="K34" s="314"/>
      <c r="L34" s="314"/>
      <c r="M34" s="316"/>
      <c r="N34" s="313"/>
    </row>
    <row r="35" spans="1:14" ht="16.5" hidden="1" customHeight="1">
      <c r="A35" s="280" t="s">
        <v>185</v>
      </c>
      <c r="B35" s="307" t="s">
        <v>186</v>
      </c>
      <c r="C35" s="308"/>
      <c r="D35" s="308"/>
      <c r="E35" s="308"/>
      <c r="F35" s="308"/>
      <c r="G35" s="308"/>
      <c r="H35" s="309"/>
      <c r="I35" s="310"/>
      <c r="J35" s="310"/>
      <c r="K35" s="309"/>
      <c r="L35" s="309"/>
      <c r="M35" s="311"/>
      <c r="N35" s="308"/>
    </row>
    <row r="36" spans="1:14" ht="16.5" hidden="1" customHeight="1">
      <c r="A36" s="280"/>
      <c r="B36" s="307"/>
      <c r="C36" s="308"/>
      <c r="D36" s="308"/>
      <c r="E36" s="308"/>
      <c r="F36" s="308"/>
      <c r="G36" s="308"/>
      <c r="H36" s="309"/>
      <c r="I36" s="310"/>
      <c r="J36" s="310"/>
      <c r="K36" s="309"/>
      <c r="L36" s="309"/>
      <c r="M36" s="311"/>
      <c r="N36" s="308"/>
    </row>
    <row r="37" spans="1:14" ht="16.5" hidden="1" customHeight="1">
      <c r="A37" s="279" t="s">
        <v>187</v>
      </c>
      <c r="B37" s="279"/>
      <c r="C37" s="288"/>
      <c r="D37" s="288"/>
      <c r="E37" s="288"/>
      <c r="F37" s="288">
        <f>F38+F42</f>
        <v>0</v>
      </c>
      <c r="G37" s="288">
        <f>G38+G42</f>
        <v>0</v>
      </c>
      <c r="H37" s="289">
        <v>0</v>
      </c>
      <c r="I37" s="290"/>
      <c r="J37" s="290"/>
      <c r="K37" s="289"/>
      <c r="L37" s="289"/>
      <c r="M37" s="291"/>
      <c r="N37" s="288"/>
    </row>
    <row r="38" spans="1:14" ht="16.5" hidden="1" customHeight="1">
      <c r="A38" s="280" t="s">
        <v>103</v>
      </c>
      <c r="B38" s="307" t="s">
        <v>141</v>
      </c>
      <c r="C38" s="308"/>
      <c r="D38" s="308"/>
      <c r="E38" s="308"/>
      <c r="F38" s="308"/>
      <c r="G38" s="308"/>
      <c r="H38" s="309"/>
      <c r="I38" s="310"/>
      <c r="J38" s="310"/>
      <c r="K38" s="309"/>
      <c r="L38" s="309"/>
      <c r="M38" s="311"/>
      <c r="N38" s="308"/>
    </row>
    <row r="39" spans="1:14" ht="16.5" hidden="1" customHeight="1">
      <c r="A39" s="280" t="s">
        <v>188</v>
      </c>
      <c r="B39" s="307" t="s">
        <v>117</v>
      </c>
      <c r="C39" s="308"/>
      <c r="D39" s="308"/>
      <c r="E39" s="308"/>
      <c r="F39" s="308"/>
      <c r="G39" s="308"/>
      <c r="H39" s="309"/>
      <c r="I39" s="310"/>
      <c r="J39" s="310"/>
      <c r="K39" s="309"/>
      <c r="L39" s="309"/>
      <c r="M39" s="311"/>
      <c r="N39" s="308"/>
    </row>
    <row r="40" spans="1:14" ht="16.5" hidden="1" customHeight="1">
      <c r="A40" s="280" t="s">
        <v>189</v>
      </c>
      <c r="B40" s="312" t="s">
        <v>141</v>
      </c>
      <c r="C40" s="308"/>
      <c r="D40" s="308"/>
      <c r="E40" s="308"/>
      <c r="F40" s="308"/>
      <c r="G40" s="308"/>
      <c r="H40" s="309"/>
      <c r="I40" s="310"/>
      <c r="J40" s="310"/>
      <c r="K40" s="309"/>
      <c r="L40" s="309"/>
      <c r="M40" s="311"/>
      <c r="N40" s="308"/>
    </row>
    <row r="41" spans="1:14" ht="16.5" hidden="1" customHeight="1">
      <c r="A41" s="280" t="s">
        <v>190</v>
      </c>
      <c r="B41" s="307" t="s">
        <v>117</v>
      </c>
      <c r="C41" s="308"/>
      <c r="D41" s="308"/>
      <c r="E41" s="308"/>
      <c r="F41" s="308"/>
      <c r="G41" s="308"/>
      <c r="H41" s="309"/>
      <c r="I41" s="310"/>
      <c r="J41" s="310"/>
      <c r="K41" s="309"/>
      <c r="L41" s="309"/>
      <c r="M41" s="311"/>
      <c r="N41" s="308"/>
    </row>
    <row r="42" spans="1:14" ht="16.5" hidden="1" customHeight="1">
      <c r="A42" s="280" t="s">
        <v>179</v>
      </c>
      <c r="B42" s="307"/>
      <c r="C42" s="308"/>
      <c r="D42" s="308"/>
      <c r="E42" s="308"/>
      <c r="F42" s="308">
        <f>SUM(F43:F46)</f>
        <v>0</v>
      </c>
      <c r="G42" s="308">
        <f>SUM(G43:G46)</f>
        <v>0</v>
      </c>
      <c r="H42" s="309">
        <v>0</v>
      </c>
      <c r="I42" s="310"/>
      <c r="J42" s="310"/>
      <c r="K42" s="309"/>
      <c r="L42" s="309"/>
      <c r="M42" s="311"/>
      <c r="N42" s="308"/>
    </row>
    <row r="43" spans="1:14" ht="16.5" hidden="1" customHeight="1">
      <c r="A43" s="280" t="s">
        <v>180</v>
      </c>
      <c r="B43" s="307" t="s">
        <v>181</v>
      </c>
      <c r="C43" s="308"/>
      <c r="D43" s="308"/>
      <c r="E43" s="308"/>
      <c r="F43" s="308"/>
      <c r="G43" s="308"/>
      <c r="H43" s="309"/>
      <c r="I43" s="310"/>
      <c r="J43" s="310"/>
      <c r="K43" s="309"/>
      <c r="L43" s="309"/>
      <c r="M43" s="311"/>
      <c r="N43" s="308"/>
    </row>
    <row r="44" spans="1:14" ht="16.5" hidden="1" customHeight="1">
      <c r="A44" s="280" t="s">
        <v>182</v>
      </c>
      <c r="B44" s="307" t="s">
        <v>181</v>
      </c>
      <c r="C44" s="308"/>
      <c r="D44" s="308"/>
      <c r="E44" s="308"/>
      <c r="F44" s="308"/>
      <c r="G44" s="308"/>
      <c r="H44" s="309"/>
      <c r="I44" s="310"/>
      <c r="J44" s="310"/>
      <c r="K44" s="309"/>
      <c r="L44" s="309"/>
      <c r="M44" s="311"/>
      <c r="N44" s="308"/>
    </row>
    <row r="45" spans="1:14" ht="16.5" hidden="1" customHeight="1">
      <c r="A45" s="280" t="s">
        <v>183</v>
      </c>
      <c r="B45" s="307" t="s">
        <v>181</v>
      </c>
      <c r="C45" s="308"/>
      <c r="D45" s="308"/>
      <c r="E45" s="308"/>
      <c r="F45" s="308"/>
      <c r="G45" s="308"/>
      <c r="H45" s="309"/>
      <c r="I45" s="310"/>
      <c r="J45" s="310"/>
      <c r="K45" s="309"/>
      <c r="L45" s="309"/>
      <c r="M45" s="311"/>
      <c r="N45" s="308"/>
    </row>
    <row r="46" spans="1:14" ht="16.5" hidden="1" customHeight="1">
      <c r="A46" s="281" t="s">
        <v>184</v>
      </c>
      <c r="B46" s="312" t="s">
        <v>117</v>
      </c>
      <c r="C46" s="313"/>
      <c r="D46" s="313"/>
      <c r="E46" s="313"/>
      <c r="F46" s="313"/>
      <c r="G46" s="313"/>
      <c r="H46" s="314"/>
      <c r="I46" s="310"/>
      <c r="J46" s="315"/>
      <c r="K46" s="314"/>
      <c r="L46" s="314"/>
      <c r="M46" s="316"/>
      <c r="N46" s="313"/>
    </row>
    <row r="47" spans="1:14" ht="16.5" hidden="1" customHeight="1">
      <c r="A47" s="280" t="s">
        <v>185</v>
      </c>
      <c r="B47" s="307" t="s">
        <v>191</v>
      </c>
      <c r="C47" s="308"/>
      <c r="D47" s="308"/>
      <c r="E47" s="308"/>
      <c r="F47" s="308"/>
      <c r="G47" s="308"/>
      <c r="H47" s="309"/>
      <c r="I47" s="310"/>
      <c r="J47" s="310"/>
      <c r="K47" s="309"/>
      <c r="L47" s="309"/>
      <c r="M47" s="311"/>
      <c r="N47" s="308"/>
    </row>
    <row r="48" spans="1:14" ht="16.5" hidden="1" customHeight="1">
      <c r="A48" s="280" t="s">
        <v>192</v>
      </c>
      <c r="B48" s="307" t="s">
        <v>191</v>
      </c>
      <c r="C48" s="308"/>
      <c r="D48" s="308"/>
      <c r="E48" s="308"/>
      <c r="F48" s="308"/>
      <c r="G48" s="308"/>
      <c r="H48" s="309"/>
      <c r="I48" s="310"/>
      <c r="J48" s="310"/>
      <c r="K48" s="309"/>
      <c r="L48" s="309"/>
      <c r="M48" s="311"/>
      <c r="N48" s="308"/>
    </row>
    <row r="49" spans="1:14" ht="16.5" hidden="1" customHeight="1">
      <c r="A49" s="280"/>
      <c r="B49" s="307"/>
      <c r="C49" s="308"/>
      <c r="D49" s="308"/>
      <c r="E49" s="308"/>
      <c r="F49" s="308"/>
      <c r="G49" s="308"/>
      <c r="H49" s="309"/>
      <c r="I49" s="310"/>
      <c r="J49" s="310"/>
      <c r="K49" s="309"/>
      <c r="L49" s="309"/>
      <c r="M49" s="311"/>
      <c r="N49" s="308"/>
    </row>
    <row r="50" spans="1:14" ht="16.5" hidden="1" customHeight="1">
      <c r="A50" s="279" t="s">
        <v>193</v>
      </c>
      <c r="B50" s="279"/>
      <c r="C50" s="288"/>
      <c r="D50" s="288"/>
      <c r="E50" s="288"/>
      <c r="F50" s="288">
        <f>F51+F67+F76+F78+F84</f>
        <v>0</v>
      </c>
      <c r="G50" s="288">
        <f>G51+G67+G76+G78+G84</f>
        <v>0</v>
      </c>
      <c r="H50" s="289">
        <v>0</v>
      </c>
      <c r="I50" s="290"/>
      <c r="J50" s="290"/>
      <c r="K50" s="289"/>
      <c r="L50" s="289"/>
      <c r="M50" s="291"/>
      <c r="N50" s="288"/>
    </row>
    <row r="51" spans="1:14" ht="16.5" hidden="1" customHeight="1">
      <c r="A51" s="280" t="s">
        <v>103</v>
      </c>
      <c r="B51" s="307" t="s">
        <v>141</v>
      </c>
      <c r="C51" s="308"/>
      <c r="D51" s="308"/>
      <c r="E51" s="308"/>
      <c r="F51" s="308">
        <f>+F52+F63</f>
        <v>0</v>
      </c>
      <c r="G51" s="308">
        <f>+G52+G63</f>
        <v>0</v>
      </c>
      <c r="H51" s="309">
        <v>0</v>
      </c>
      <c r="I51" s="310"/>
      <c r="J51" s="310"/>
      <c r="K51" s="309"/>
      <c r="L51" s="309"/>
      <c r="M51" s="311"/>
      <c r="N51" s="308"/>
    </row>
    <row r="52" spans="1:14" ht="16.5" hidden="1" customHeight="1">
      <c r="A52" s="280" t="s">
        <v>194</v>
      </c>
      <c r="B52" s="307"/>
      <c r="C52" s="308"/>
      <c r="D52" s="308"/>
      <c r="E52" s="308"/>
      <c r="F52" s="308">
        <f>+F62</f>
        <v>0</v>
      </c>
      <c r="G52" s="308">
        <f>+G62</f>
        <v>0</v>
      </c>
      <c r="H52" s="309">
        <v>0</v>
      </c>
      <c r="I52" s="310"/>
      <c r="J52" s="310"/>
      <c r="K52" s="309"/>
      <c r="L52" s="309"/>
      <c r="M52" s="311"/>
      <c r="N52" s="308"/>
    </row>
    <row r="53" spans="1:14" ht="16.5" hidden="1" customHeight="1">
      <c r="A53" s="280" t="s">
        <v>195</v>
      </c>
      <c r="B53" s="307"/>
      <c r="C53" s="308"/>
      <c r="D53" s="308"/>
      <c r="E53" s="308"/>
      <c r="F53" s="308"/>
      <c r="G53" s="308"/>
      <c r="H53" s="309"/>
      <c r="I53" s="310"/>
      <c r="J53" s="310"/>
      <c r="K53" s="309"/>
      <c r="L53" s="309"/>
      <c r="M53" s="311"/>
      <c r="N53" s="308"/>
    </row>
    <row r="54" spans="1:14" ht="16.5" hidden="1" customHeight="1">
      <c r="A54" s="280" t="s">
        <v>196</v>
      </c>
      <c r="B54" s="307" t="s">
        <v>141</v>
      </c>
      <c r="C54" s="308"/>
      <c r="D54" s="308"/>
      <c r="E54" s="308"/>
      <c r="F54" s="308"/>
      <c r="G54" s="308"/>
      <c r="H54" s="309"/>
      <c r="I54" s="310"/>
      <c r="J54" s="310"/>
      <c r="K54" s="309"/>
      <c r="L54" s="309"/>
      <c r="M54" s="311"/>
      <c r="N54" s="308"/>
    </row>
    <row r="55" spans="1:14" ht="16.5" hidden="1" customHeight="1">
      <c r="A55" s="280" t="s">
        <v>197</v>
      </c>
      <c r="B55" s="307" t="s">
        <v>141</v>
      </c>
      <c r="C55" s="308"/>
      <c r="D55" s="308"/>
      <c r="E55" s="308"/>
      <c r="F55" s="308"/>
      <c r="G55" s="308"/>
      <c r="H55" s="309"/>
      <c r="I55" s="310"/>
      <c r="J55" s="310"/>
      <c r="K55" s="309"/>
      <c r="L55" s="309"/>
      <c r="M55" s="311"/>
      <c r="N55" s="308"/>
    </row>
    <row r="56" spans="1:14" ht="16.5" hidden="1" customHeight="1">
      <c r="A56" s="280" t="s">
        <v>198</v>
      </c>
      <c r="B56" s="307" t="s">
        <v>141</v>
      </c>
      <c r="C56" s="308"/>
      <c r="D56" s="308"/>
      <c r="E56" s="308"/>
      <c r="F56" s="308"/>
      <c r="G56" s="308"/>
      <c r="H56" s="309"/>
      <c r="I56" s="310"/>
      <c r="J56" s="310"/>
      <c r="K56" s="309"/>
      <c r="L56" s="309"/>
      <c r="M56" s="311"/>
      <c r="N56" s="308"/>
    </row>
    <row r="57" spans="1:14" ht="16.5" hidden="1" customHeight="1">
      <c r="A57" s="280" t="s">
        <v>199</v>
      </c>
      <c r="B57" s="307" t="s">
        <v>141</v>
      </c>
      <c r="C57" s="308"/>
      <c r="D57" s="308"/>
      <c r="E57" s="308"/>
      <c r="F57" s="308"/>
      <c r="G57" s="308"/>
      <c r="H57" s="309"/>
      <c r="I57" s="310"/>
      <c r="J57" s="310"/>
      <c r="K57" s="309"/>
      <c r="L57" s="309"/>
      <c r="M57" s="311"/>
      <c r="N57" s="308"/>
    </row>
    <row r="58" spans="1:14" ht="16.5" hidden="1" customHeight="1">
      <c r="A58" s="280" t="s">
        <v>200</v>
      </c>
      <c r="B58" s="307" t="s">
        <v>141</v>
      </c>
      <c r="C58" s="308"/>
      <c r="D58" s="308"/>
      <c r="E58" s="308"/>
      <c r="F58" s="308"/>
      <c r="G58" s="308"/>
      <c r="H58" s="309"/>
      <c r="I58" s="310"/>
      <c r="J58" s="310"/>
      <c r="K58" s="309"/>
      <c r="L58" s="309"/>
      <c r="M58" s="311"/>
      <c r="N58" s="308"/>
    </row>
    <row r="59" spans="1:14" ht="16.5" hidden="1" customHeight="1">
      <c r="A59" s="280" t="s">
        <v>201</v>
      </c>
      <c r="B59" s="307"/>
      <c r="C59" s="308"/>
      <c r="D59" s="308"/>
      <c r="E59" s="308"/>
      <c r="F59" s="308"/>
      <c r="G59" s="308"/>
      <c r="H59" s="309"/>
      <c r="I59" s="310"/>
      <c r="J59" s="310"/>
      <c r="K59" s="309"/>
      <c r="L59" s="309"/>
      <c r="M59" s="311"/>
      <c r="N59" s="308"/>
    </row>
    <row r="60" spans="1:14" ht="16.5" hidden="1" customHeight="1">
      <c r="A60" s="280" t="s">
        <v>189</v>
      </c>
      <c r="B60" s="307" t="s">
        <v>141</v>
      </c>
      <c r="C60" s="308"/>
      <c r="D60" s="308"/>
      <c r="E60" s="308"/>
      <c r="F60" s="308"/>
      <c r="G60" s="308"/>
      <c r="H60" s="309"/>
      <c r="I60" s="310"/>
      <c r="J60" s="310"/>
      <c r="K60" s="309"/>
      <c r="L60" s="309"/>
      <c r="M60" s="311"/>
      <c r="N60" s="308"/>
    </row>
    <row r="61" spans="1:14" ht="16.5" hidden="1" customHeight="1">
      <c r="A61" s="280" t="s">
        <v>101</v>
      </c>
      <c r="B61" s="307" t="s">
        <v>141</v>
      </c>
      <c r="C61" s="308"/>
      <c r="D61" s="308"/>
      <c r="E61" s="308"/>
      <c r="F61" s="308"/>
      <c r="G61" s="308"/>
      <c r="H61" s="309"/>
      <c r="I61" s="310"/>
      <c r="J61" s="310"/>
      <c r="K61" s="309"/>
      <c r="L61" s="309"/>
      <c r="M61" s="311"/>
      <c r="N61" s="308"/>
    </row>
    <row r="62" spans="1:14" ht="16.5" hidden="1" customHeight="1">
      <c r="A62" s="280" t="s">
        <v>202</v>
      </c>
      <c r="B62" s="307" t="s">
        <v>141</v>
      </c>
      <c r="C62" s="308"/>
      <c r="D62" s="308"/>
      <c r="E62" s="308"/>
      <c r="F62" s="308"/>
      <c r="G62" s="308"/>
      <c r="H62" s="309"/>
      <c r="I62" s="310"/>
      <c r="J62" s="310"/>
      <c r="K62" s="309"/>
      <c r="L62" s="309"/>
      <c r="M62" s="311"/>
      <c r="N62" s="308"/>
    </row>
    <row r="63" spans="1:14" ht="16.5" hidden="1" customHeight="1">
      <c r="A63" s="281" t="s">
        <v>203</v>
      </c>
      <c r="B63" s="282" t="s">
        <v>204</v>
      </c>
      <c r="C63" s="317"/>
      <c r="D63" s="317"/>
      <c r="E63" s="317"/>
      <c r="F63" s="317"/>
      <c r="G63" s="317"/>
      <c r="H63" s="318"/>
      <c r="I63" s="319"/>
      <c r="J63" s="320"/>
      <c r="K63" s="318"/>
      <c r="L63" s="318"/>
      <c r="M63" s="321"/>
      <c r="N63" s="317"/>
    </row>
    <row r="64" spans="1:14" ht="16.5" hidden="1" customHeight="1">
      <c r="A64" s="280" t="s">
        <v>205</v>
      </c>
      <c r="B64" s="307"/>
      <c r="C64" s="308"/>
      <c r="D64" s="308"/>
      <c r="E64" s="308"/>
      <c r="F64" s="308"/>
      <c r="G64" s="308"/>
      <c r="H64" s="309"/>
      <c r="I64" s="310"/>
      <c r="J64" s="310"/>
      <c r="K64" s="309"/>
      <c r="L64" s="309"/>
      <c r="M64" s="311"/>
      <c r="N64" s="308"/>
    </row>
    <row r="65" spans="1:14" ht="16.5" hidden="1" customHeight="1">
      <c r="A65" s="280" t="s">
        <v>206</v>
      </c>
      <c r="B65" s="307" t="s">
        <v>141</v>
      </c>
      <c r="C65" s="308"/>
      <c r="D65" s="308"/>
      <c r="E65" s="308"/>
      <c r="F65" s="308"/>
      <c r="G65" s="308"/>
      <c r="H65" s="309"/>
      <c r="I65" s="310"/>
      <c r="J65" s="310"/>
      <c r="K65" s="309"/>
      <c r="L65" s="309"/>
      <c r="M65" s="311"/>
      <c r="N65" s="308"/>
    </row>
    <row r="66" spans="1:14" ht="16.5" hidden="1" customHeight="1">
      <c r="A66" s="280" t="s">
        <v>207</v>
      </c>
      <c r="B66" s="307" t="s">
        <v>141</v>
      </c>
      <c r="C66" s="308"/>
      <c r="D66" s="308"/>
      <c r="E66" s="308"/>
      <c r="F66" s="308"/>
      <c r="G66" s="308"/>
      <c r="H66" s="309"/>
      <c r="I66" s="310"/>
      <c r="J66" s="310"/>
      <c r="K66" s="309"/>
      <c r="L66" s="309"/>
      <c r="M66" s="311"/>
      <c r="N66" s="308"/>
    </row>
    <row r="67" spans="1:14" ht="16.5" hidden="1" customHeight="1">
      <c r="A67" s="280" t="s">
        <v>208</v>
      </c>
      <c r="B67" s="307"/>
      <c r="C67" s="308">
        <f>SUM(C68:C74)</f>
        <v>0</v>
      </c>
      <c r="D67" s="308"/>
      <c r="E67" s="308"/>
      <c r="F67" s="308">
        <f>SUM(F68:F74)</f>
        <v>0</v>
      </c>
      <c r="G67" s="308">
        <f>SUM(G68:G74)</f>
        <v>0</v>
      </c>
      <c r="H67" s="309">
        <v>0</v>
      </c>
      <c r="I67" s="310"/>
      <c r="J67" s="310"/>
      <c r="K67" s="309"/>
      <c r="L67" s="309"/>
      <c r="M67" s="311"/>
      <c r="N67" s="308"/>
    </row>
    <row r="68" spans="1:14" ht="16.5" hidden="1" customHeight="1">
      <c r="A68" s="280" t="s">
        <v>209</v>
      </c>
      <c r="B68" s="307" t="s">
        <v>210</v>
      </c>
      <c r="C68" s="308"/>
      <c r="D68" s="308"/>
      <c r="E68" s="308"/>
      <c r="F68" s="308"/>
      <c r="G68" s="308"/>
      <c r="H68" s="309"/>
      <c r="I68" s="310"/>
      <c r="J68" s="310"/>
      <c r="K68" s="309"/>
      <c r="L68" s="309"/>
      <c r="M68" s="311"/>
      <c r="N68" s="308"/>
    </row>
    <row r="69" spans="1:14" ht="16.5" hidden="1" customHeight="1">
      <c r="A69" s="280" t="s">
        <v>211</v>
      </c>
      <c r="B69" s="307" t="s">
        <v>210</v>
      </c>
      <c r="C69" s="308"/>
      <c r="D69" s="308"/>
      <c r="E69" s="308"/>
      <c r="F69" s="308"/>
      <c r="G69" s="308"/>
      <c r="H69" s="309"/>
      <c r="I69" s="310"/>
      <c r="J69" s="310"/>
      <c r="K69" s="309"/>
      <c r="L69" s="309"/>
      <c r="M69" s="311"/>
      <c r="N69" s="308"/>
    </row>
    <row r="70" spans="1:14" ht="16.5" hidden="1" customHeight="1">
      <c r="A70" s="280" t="s">
        <v>212</v>
      </c>
      <c r="B70" s="307" t="s">
        <v>210</v>
      </c>
      <c r="C70" s="308"/>
      <c r="D70" s="308"/>
      <c r="E70" s="308"/>
      <c r="F70" s="308"/>
      <c r="G70" s="308"/>
      <c r="H70" s="309"/>
      <c r="I70" s="310"/>
      <c r="J70" s="310"/>
      <c r="K70" s="309"/>
      <c r="L70" s="309"/>
      <c r="M70" s="311"/>
      <c r="N70" s="308"/>
    </row>
    <row r="71" spans="1:14" ht="16.5" hidden="1" customHeight="1">
      <c r="A71" s="280" t="s">
        <v>213</v>
      </c>
      <c r="B71" s="307" t="s">
        <v>210</v>
      </c>
      <c r="C71" s="308"/>
      <c r="D71" s="308"/>
      <c r="E71" s="308"/>
      <c r="F71" s="308"/>
      <c r="G71" s="308"/>
      <c r="H71" s="309"/>
      <c r="I71" s="310"/>
      <c r="J71" s="310"/>
      <c r="K71" s="309"/>
      <c r="L71" s="309"/>
      <c r="M71" s="311"/>
      <c r="N71" s="308"/>
    </row>
    <row r="72" spans="1:14" ht="16.5" hidden="1" customHeight="1">
      <c r="A72" s="280" t="s">
        <v>214</v>
      </c>
      <c r="B72" s="307" t="s">
        <v>210</v>
      </c>
      <c r="C72" s="308"/>
      <c r="D72" s="308"/>
      <c r="E72" s="308"/>
      <c r="F72" s="308"/>
      <c r="G72" s="308"/>
      <c r="H72" s="309"/>
      <c r="I72" s="310"/>
      <c r="J72" s="310"/>
      <c r="K72" s="309"/>
      <c r="L72" s="309"/>
      <c r="M72" s="311"/>
      <c r="N72" s="308"/>
    </row>
    <row r="73" spans="1:14" ht="16.5" hidden="1" customHeight="1">
      <c r="A73" s="280" t="s">
        <v>215</v>
      </c>
      <c r="B73" s="307" t="s">
        <v>210</v>
      </c>
      <c r="C73" s="308"/>
      <c r="D73" s="308"/>
      <c r="E73" s="308"/>
      <c r="F73" s="308"/>
      <c r="G73" s="308"/>
      <c r="H73" s="309"/>
      <c r="I73" s="310"/>
      <c r="J73" s="310"/>
      <c r="K73" s="309"/>
      <c r="L73" s="309"/>
      <c r="M73" s="311"/>
      <c r="N73" s="308"/>
    </row>
    <row r="74" spans="1:14" ht="16.5" hidden="1" customHeight="1">
      <c r="A74" s="280" t="s">
        <v>216</v>
      </c>
      <c r="B74" s="307"/>
      <c r="C74" s="308">
        <f>+C75</f>
        <v>0</v>
      </c>
      <c r="D74" s="308"/>
      <c r="E74" s="308"/>
      <c r="F74" s="308">
        <f>+F75</f>
        <v>0</v>
      </c>
      <c r="G74" s="308">
        <f>+G75</f>
        <v>0</v>
      </c>
      <c r="H74" s="309">
        <v>0</v>
      </c>
      <c r="I74" s="310"/>
      <c r="J74" s="310"/>
      <c r="K74" s="309"/>
      <c r="L74" s="309"/>
      <c r="M74" s="311"/>
      <c r="N74" s="308"/>
    </row>
    <row r="75" spans="1:14" ht="16.5" hidden="1" customHeight="1">
      <c r="A75" s="281" t="s">
        <v>217</v>
      </c>
      <c r="B75" s="312" t="s">
        <v>218</v>
      </c>
      <c r="C75" s="313"/>
      <c r="D75" s="313"/>
      <c r="E75" s="313"/>
      <c r="F75" s="313"/>
      <c r="G75" s="313"/>
      <c r="H75" s="314"/>
      <c r="I75" s="310"/>
      <c r="J75" s="315"/>
      <c r="K75" s="314"/>
      <c r="L75" s="314"/>
      <c r="M75" s="316"/>
      <c r="N75" s="313"/>
    </row>
    <row r="76" spans="1:14" ht="16.5" hidden="1" customHeight="1">
      <c r="A76" s="280" t="s">
        <v>219</v>
      </c>
      <c r="B76" s="307" t="s">
        <v>220</v>
      </c>
      <c r="C76" s="308"/>
      <c r="D76" s="308"/>
      <c r="E76" s="308"/>
      <c r="F76" s="308"/>
      <c r="G76" s="308"/>
      <c r="H76" s="309"/>
      <c r="I76" s="310"/>
      <c r="J76" s="310"/>
      <c r="K76" s="309"/>
      <c r="L76" s="309"/>
      <c r="M76" s="311"/>
      <c r="N76" s="308"/>
    </row>
    <row r="77" spans="1:14" ht="16.5" hidden="1" customHeight="1">
      <c r="A77" s="280"/>
      <c r="B77" s="307"/>
      <c r="C77" s="308"/>
      <c r="D77" s="308"/>
      <c r="E77" s="308"/>
      <c r="F77" s="308"/>
      <c r="G77" s="308"/>
      <c r="H77" s="309"/>
      <c r="I77" s="310"/>
      <c r="J77" s="310"/>
      <c r="K77" s="309"/>
      <c r="L77" s="309"/>
      <c r="M77" s="311"/>
      <c r="N77" s="308"/>
    </row>
    <row r="78" spans="1:14" ht="16.5" hidden="1" customHeight="1">
      <c r="A78" s="280" t="s">
        <v>179</v>
      </c>
      <c r="B78" s="307"/>
      <c r="C78" s="308">
        <f>SUM(C79:C83)</f>
        <v>0</v>
      </c>
      <c r="D78" s="308"/>
      <c r="E78" s="308"/>
      <c r="F78" s="308">
        <f>SUM(F79:F83)</f>
        <v>0</v>
      </c>
      <c r="G78" s="308">
        <f>SUM(G79:G83)</f>
        <v>0</v>
      </c>
      <c r="H78" s="309">
        <v>0</v>
      </c>
      <c r="I78" s="310"/>
      <c r="J78" s="310"/>
      <c r="K78" s="309"/>
      <c r="L78" s="309"/>
      <c r="M78" s="311"/>
      <c r="N78" s="308"/>
    </row>
    <row r="79" spans="1:14" ht="16.5" hidden="1" customHeight="1">
      <c r="A79" s="280" t="s">
        <v>221</v>
      </c>
      <c r="B79" s="307" t="s">
        <v>181</v>
      </c>
      <c r="C79" s="308"/>
      <c r="D79" s="308"/>
      <c r="E79" s="308"/>
      <c r="F79" s="308"/>
      <c r="G79" s="308"/>
      <c r="H79" s="309"/>
      <c r="I79" s="310"/>
      <c r="J79" s="310"/>
      <c r="K79" s="309"/>
      <c r="L79" s="309"/>
      <c r="M79" s="311"/>
      <c r="N79" s="308"/>
    </row>
    <row r="80" spans="1:14" ht="16.5" hidden="1" customHeight="1">
      <c r="A80" s="280" t="s">
        <v>182</v>
      </c>
      <c r="B80" s="307" t="s">
        <v>181</v>
      </c>
      <c r="C80" s="308"/>
      <c r="D80" s="308"/>
      <c r="E80" s="308"/>
      <c r="F80" s="308"/>
      <c r="G80" s="308"/>
      <c r="H80" s="309"/>
      <c r="I80" s="310"/>
      <c r="J80" s="310"/>
      <c r="K80" s="309"/>
      <c r="L80" s="309"/>
      <c r="M80" s="311"/>
      <c r="N80" s="308"/>
    </row>
    <row r="81" spans="1:14" ht="16.5" hidden="1" customHeight="1">
      <c r="A81" s="280" t="s">
        <v>183</v>
      </c>
      <c r="B81" s="307" t="s">
        <v>181</v>
      </c>
      <c r="C81" s="308"/>
      <c r="D81" s="308"/>
      <c r="E81" s="308"/>
      <c r="F81" s="308"/>
      <c r="G81" s="308"/>
      <c r="H81" s="309"/>
      <c r="I81" s="310"/>
      <c r="J81" s="310"/>
      <c r="K81" s="309"/>
      <c r="L81" s="309"/>
      <c r="M81" s="311"/>
      <c r="N81" s="308"/>
    </row>
    <row r="82" spans="1:14" ht="16.5" hidden="1" customHeight="1">
      <c r="A82" s="280" t="s">
        <v>222</v>
      </c>
      <c r="B82" s="307" t="s">
        <v>223</v>
      </c>
      <c r="C82" s="308"/>
      <c r="D82" s="308"/>
      <c r="E82" s="308"/>
      <c r="F82" s="308"/>
      <c r="G82" s="308"/>
      <c r="H82" s="309"/>
      <c r="I82" s="310"/>
      <c r="J82" s="310"/>
      <c r="K82" s="309"/>
      <c r="L82" s="309"/>
      <c r="M82" s="311"/>
      <c r="N82" s="308"/>
    </row>
    <row r="83" spans="1:14" ht="16.5" hidden="1" customHeight="1">
      <c r="A83" s="281" t="s">
        <v>184</v>
      </c>
      <c r="B83" s="312" t="s">
        <v>117</v>
      </c>
      <c r="C83" s="313"/>
      <c r="D83" s="313"/>
      <c r="E83" s="313"/>
      <c r="F83" s="313"/>
      <c r="G83" s="313"/>
      <c r="H83" s="314">
        <v>0</v>
      </c>
      <c r="I83" s="310"/>
      <c r="J83" s="315"/>
      <c r="K83" s="314"/>
      <c r="L83" s="314"/>
      <c r="M83" s="316"/>
      <c r="N83" s="313"/>
    </row>
    <row r="84" spans="1:14" ht="16.5" hidden="1" customHeight="1">
      <c r="A84" s="280" t="s">
        <v>185</v>
      </c>
      <c r="B84" s="312" t="s">
        <v>118</v>
      </c>
      <c r="C84" s="313"/>
      <c r="D84" s="313"/>
      <c r="E84" s="313"/>
      <c r="F84" s="313"/>
      <c r="G84" s="313"/>
      <c r="H84" s="314">
        <v>0</v>
      </c>
      <c r="I84" s="310"/>
      <c r="J84" s="315"/>
      <c r="K84" s="314"/>
      <c r="L84" s="314"/>
      <c r="M84" s="316"/>
      <c r="N84" s="313"/>
    </row>
    <row r="85" spans="1:14" ht="16.5" hidden="1" customHeight="1">
      <c r="A85" s="283"/>
      <c r="B85" s="322"/>
      <c r="C85" s="323"/>
      <c r="D85" s="323"/>
      <c r="E85" s="323"/>
      <c r="F85" s="323"/>
      <c r="G85" s="323"/>
      <c r="H85" s="324"/>
      <c r="I85" s="325"/>
      <c r="J85" s="325"/>
      <c r="K85" s="324"/>
      <c r="L85" s="324"/>
      <c r="M85" s="326"/>
      <c r="N85" s="323"/>
    </row>
    <row r="86" spans="1:14" ht="16.5" hidden="1" customHeight="1">
      <c r="A86" s="279" t="s">
        <v>123</v>
      </c>
      <c r="B86" s="279"/>
      <c r="C86" s="288"/>
      <c r="D86" s="288"/>
      <c r="E86" s="288"/>
      <c r="F86" s="288">
        <f>F87+F111</f>
        <v>0</v>
      </c>
      <c r="G86" s="288">
        <f>G87+G111</f>
        <v>0</v>
      </c>
      <c r="H86" s="289">
        <v>0</v>
      </c>
      <c r="I86" s="290"/>
      <c r="J86" s="290"/>
      <c r="K86" s="289"/>
      <c r="L86" s="289"/>
      <c r="M86" s="291"/>
      <c r="N86" s="288"/>
    </row>
    <row r="87" spans="1:14" ht="16.5" hidden="1" customHeight="1">
      <c r="A87" s="280" t="s">
        <v>224</v>
      </c>
      <c r="B87" s="307"/>
      <c r="C87" s="308"/>
      <c r="D87" s="308"/>
      <c r="E87" s="308"/>
      <c r="F87" s="308">
        <f>F88+F92+F101+F102</f>
        <v>0</v>
      </c>
      <c r="G87" s="308">
        <f>G88+G92+G101+G102</f>
        <v>0</v>
      </c>
      <c r="H87" s="309">
        <v>0</v>
      </c>
      <c r="I87" s="310"/>
      <c r="J87" s="310"/>
      <c r="K87" s="309"/>
      <c r="L87" s="309"/>
      <c r="M87" s="311"/>
      <c r="N87" s="308"/>
    </row>
    <row r="88" spans="1:14" ht="16.5" hidden="1" customHeight="1">
      <c r="A88" s="280" t="s">
        <v>225</v>
      </c>
      <c r="B88" s="307" t="s">
        <v>157</v>
      </c>
      <c r="C88" s="308"/>
      <c r="D88" s="308"/>
      <c r="E88" s="308"/>
      <c r="F88" s="308"/>
      <c r="G88" s="308"/>
      <c r="H88" s="309"/>
      <c r="I88" s="310"/>
      <c r="J88" s="310"/>
      <c r="K88" s="309"/>
      <c r="L88" s="309"/>
      <c r="M88" s="311"/>
      <c r="N88" s="308"/>
    </row>
    <row r="89" spans="1:14" ht="16.5" hidden="1" customHeight="1">
      <c r="A89" s="280" t="s">
        <v>150</v>
      </c>
      <c r="B89" s="307" t="s">
        <v>157</v>
      </c>
      <c r="C89" s="308"/>
      <c r="D89" s="308"/>
      <c r="E89" s="308"/>
      <c r="F89" s="308"/>
      <c r="G89" s="308"/>
      <c r="H89" s="309"/>
      <c r="I89" s="310"/>
      <c r="J89" s="310"/>
      <c r="K89" s="309"/>
      <c r="L89" s="309"/>
      <c r="M89" s="311"/>
      <c r="N89" s="308"/>
    </row>
    <row r="90" spans="1:14" ht="16.5" hidden="1" customHeight="1">
      <c r="A90" s="280" t="s">
        <v>226</v>
      </c>
      <c r="B90" s="307" t="s">
        <v>157</v>
      </c>
      <c r="C90" s="308"/>
      <c r="D90" s="308"/>
      <c r="E90" s="308"/>
      <c r="F90" s="308"/>
      <c r="G90" s="308"/>
      <c r="H90" s="309"/>
      <c r="I90" s="310"/>
      <c r="J90" s="310"/>
      <c r="K90" s="309"/>
      <c r="L90" s="309"/>
      <c r="M90" s="311"/>
      <c r="N90" s="308"/>
    </row>
    <row r="91" spans="1:14" ht="16.5" hidden="1" customHeight="1">
      <c r="A91" s="280" t="s">
        <v>227</v>
      </c>
      <c r="B91" s="307" t="s">
        <v>157</v>
      </c>
      <c r="C91" s="308"/>
      <c r="D91" s="308"/>
      <c r="E91" s="308"/>
      <c r="F91" s="308"/>
      <c r="G91" s="308"/>
      <c r="H91" s="309"/>
      <c r="I91" s="310"/>
      <c r="J91" s="310"/>
      <c r="K91" s="309"/>
      <c r="L91" s="309"/>
      <c r="M91" s="311"/>
      <c r="N91" s="308"/>
    </row>
    <row r="92" spans="1:14" ht="16.5" hidden="1" customHeight="1">
      <c r="A92" s="280" t="s">
        <v>228</v>
      </c>
      <c r="B92" s="307" t="s">
        <v>157</v>
      </c>
      <c r="C92" s="308">
        <f>C93</f>
        <v>0</v>
      </c>
      <c r="D92" s="308"/>
      <c r="E92" s="308"/>
      <c r="F92" s="308">
        <f>F93</f>
        <v>0</v>
      </c>
      <c r="G92" s="308">
        <f>G93</f>
        <v>0</v>
      </c>
      <c r="H92" s="309">
        <v>0</v>
      </c>
      <c r="I92" s="310"/>
      <c r="J92" s="310"/>
      <c r="K92" s="309"/>
      <c r="L92" s="309"/>
      <c r="M92" s="311"/>
      <c r="N92" s="308"/>
    </row>
    <row r="93" spans="1:14" ht="16.5" hidden="1" customHeight="1">
      <c r="A93" s="280" t="s">
        <v>149</v>
      </c>
      <c r="B93" s="307" t="s">
        <v>157</v>
      </c>
      <c r="C93" s="308"/>
      <c r="D93" s="308"/>
      <c r="E93" s="308"/>
      <c r="F93" s="308"/>
      <c r="G93" s="308">
        <f>SUM(G94:G96)</f>
        <v>0</v>
      </c>
      <c r="H93" s="309">
        <v>0</v>
      </c>
      <c r="I93" s="310"/>
      <c r="J93" s="310"/>
      <c r="K93" s="309"/>
      <c r="L93" s="309"/>
      <c r="M93" s="311"/>
      <c r="N93" s="308"/>
    </row>
    <row r="94" spans="1:14" ht="16.5" hidden="1" customHeight="1">
      <c r="A94" s="280" t="s">
        <v>229</v>
      </c>
      <c r="B94" s="307" t="s">
        <v>157</v>
      </c>
      <c r="C94" s="308"/>
      <c r="D94" s="308"/>
      <c r="E94" s="308"/>
      <c r="F94" s="308"/>
      <c r="G94" s="308"/>
      <c r="H94" s="309"/>
      <c r="I94" s="310"/>
      <c r="J94" s="310"/>
      <c r="K94" s="309"/>
      <c r="L94" s="309"/>
      <c r="M94" s="311"/>
      <c r="N94" s="308"/>
    </row>
    <row r="95" spans="1:14" ht="16.5" hidden="1" customHeight="1">
      <c r="A95" s="280" t="s">
        <v>230</v>
      </c>
      <c r="B95" s="307" t="s">
        <v>157</v>
      </c>
      <c r="C95" s="308"/>
      <c r="D95" s="308"/>
      <c r="E95" s="308"/>
      <c r="F95" s="308"/>
      <c r="G95" s="308"/>
      <c r="H95" s="309"/>
      <c r="I95" s="310"/>
      <c r="J95" s="310"/>
      <c r="K95" s="309"/>
      <c r="L95" s="309"/>
      <c r="M95" s="311"/>
      <c r="N95" s="308"/>
    </row>
    <row r="96" spans="1:14" ht="16.5" hidden="1" customHeight="1">
      <c r="A96" s="280" t="s">
        <v>231</v>
      </c>
      <c r="B96" s="307" t="s">
        <v>157</v>
      </c>
      <c r="C96" s="308"/>
      <c r="D96" s="308"/>
      <c r="E96" s="308"/>
      <c r="F96" s="308"/>
      <c r="G96" s="308"/>
      <c r="H96" s="309">
        <v>0</v>
      </c>
      <c r="I96" s="310"/>
      <c r="J96" s="310"/>
      <c r="K96" s="309"/>
      <c r="L96" s="309"/>
      <c r="M96" s="311"/>
      <c r="N96" s="308"/>
    </row>
    <row r="97" spans="1:14" ht="16.5" hidden="1" customHeight="1">
      <c r="A97" s="280" t="s">
        <v>232</v>
      </c>
      <c r="B97" s="307"/>
      <c r="C97" s="308"/>
      <c r="D97" s="308"/>
      <c r="E97" s="308"/>
      <c r="F97" s="308"/>
      <c r="G97" s="308"/>
      <c r="H97" s="309"/>
      <c r="I97" s="310"/>
      <c r="J97" s="310"/>
      <c r="K97" s="309"/>
      <c r="L97" s="309"/>
      <c r="M97" s="311"/>
      <c r="N97" s="308"/>
    </row>
    <row r="98" spans="1:14" ht="16.5" hidden="1" customHeight="1">
      <c r="A98" s="280" t="s">
        <v>233</v>
      </c>
      <c r="B98" s="307" t="s">
        <v>157</v>
      </c>
      <c r="C98" s="308"/>
      <c r="D98" s="308"/>
      <c r="E98" s="308"/>
      <c r="F98" s="308"/>
      <c r="G98" s="308"/>
      <c r="H98" s="309"/>
      <c r="I98" s="310"/>
      <c r="J98" s="310"/>
      <c r="K98" s="309"/>
      <c r="L98" s="309"/>
      <c r="M98" s="311"/>
      <c r="N98" s="308"/>
    </row>
    <row r="99" spans="1:14" ht="16.5" hidden="1" customHeight="1">
      <c r="A99" s="280" t="s">
        <v>234</v>
      </c>
      <c r="B99" s="307" t="s">
        <v>157</v>
      </c>
      <c r="C99" s="308"/>
      <c r="D99" s="308"/>
      <c r="E99" s="308"/>
      <c r="F99" s="308"/>
      <c r="G99" s="308"/>
      <c r="H99" s="309"/>
      <c r="I99" s="310"/>
      <c r="J99" s="310"/>
      <c r="K99" s="309"/>
      <c r="L99" s="309"/>
      <c r="M99" s="311"/>
      <c r="N99" s="308"/>
    </row>
    <row r="100" spans="1:14" ht="16.5" hidden="1" customHeight="1">
      <c r="A100" s="280" t="s">
        <v>231</v>
      </c>
      <c r="B100" s="307" t="s">
        <v>157</v>
      </c>
      <c r="C100" s="308"/>
      <c r="D100" s="308"/>
      <c r="E100" s="308"/>
      <c r="F100" s="308"/>
      <c r="G100" s="308"/>
      <c r="H100" s="309"/>
      <c r="I100" s="310"/>
      <c r="J100" s="310"/>
      <c r="K100" s="309"/>
      <c r="L100" s="309"/>
      <c r="M100" s="311"/>
      <c r="N100" s="308"/>
    </row>
    <row r="101" spans="1:14" ht="16.5" hidden="1" customHeight="1">
      <c r="A101" s="280" t="s">
        <v>235</v>
      </c>
      <c r="B101" s="307" t="s">
        <v>157</v>
      </c>
      <c r="C101" s="308"/>
      <c r="D101" s="308"/>
      <c r="E101" s="308"/>
      <c r="F101" s="308"/>
      <c r="G101" s="308"/>
      <c r="H101" s="309">
        <v>0</v>
      </c>
      <c r="I101" s="310"/>
      <c r="J101" s="310"/>
      <c r="K101" s="309"/>
      <c r="L101" s="309"/>
      <c r="M101" s="311"/>
      <c r="N101" s="308"/>
    </row>
    <row r="102" spans="1:14" ht="16.5" hidden="1" customHeight="1">
      <c r="A102" s="280" t="s">
        <v>236</v>
      </c>
      <c r="B102" s="307" t="s">
        <v>157</v>
      </c>
      <c r="C102" s="308">
        <f>SUM(C103:C109)</f>
        <v>0</v>
      </c>
      <c r="D102" s="308"/>
      <c r="E102" s="308"/>
      <c r="F102" s="308">
        <f>SUM(F103:F109)</f>
        <v>0</v>
      </c>
      <c r="G102" s="308"/>
      <c r="H102" s="309">
        <v>0</v>
      </c>
      <c r="I102" s="310"/>
      <c r="J102" s="310"/>
      <c r="K102" s="309"/>
      <c r="L102" s="309"/>
      <c r="M102" s="311"/>
      <c r="N102" s="308"/>
    </row>
    <row r="103" spans="1:14" ht="16.5" hidden="1" customHeight="1">
      <c r="A103" s="280" t="s">
        <v>237</v>
      </c>
      <c r="B103" s="307" t="s">
        <v>157</v>
      </c>
      <c r="C103" s="308"/>
      <c r="D103" s="308"/>
      <c r="E103" s="308"/>
      <c r="F103" s="308"/>
      <c r="G103" s="308"/>
      <c r="H103" s="309">
        <v>0</v>
      </c>
      <c r="I103" s="310"/>
      <c r="J103" s="310"/>
      <c r="K103" s="309"/>
      <c r="L103" s="309"/>
      <c r="M103" s="311"/>
      <c r="N103" s="308"/>
    </row>
    <row r="104" spans="1:14" ht="16.5" hidden="1" customHeight="1">
      <c r="A104" s="280" t="s">
        <v>151</v>
      </c>
      <c r="B104" s="307" t="s">
        <v>157</v>
      </c>
      <c r="C104" s="308"/>
      <c r="D104" s="308"/>
      <c r="E104" s="308"/>
      <c r="F104" s="308"/>
      <c r="G104" s="308"/>
      <c r="H104" s="309"/>
      <c r="I104" s="310"/>
      <c r="J104" s="310"/>
      <c r="K104" s="309"/>
      <c r="L104" s="309"/>
      <c r="M104" s="311"/>
      <c r="N104" s="308"/>
    </row>
    <row r="105" spans="1:14" ht="16.5" hidden="1" customHeight="1">
      <c r="A105" s="280" t="s">
        <v>151</v>
      </c>
      <c r="B105" s="307" t="s">
        <v>157</v>
      </c>
      <c r="C105" s="308"/>
      <c r="D105" s="308"/>
      <c r="E105" s="308"/>
      <c r="F105" s="308"/>
      <c r="G105" s="308"/>
      <c r="H105" s="309"/>
      <c r="I105" s="310"/>
      <c r="J105" s="310"/>
      <c r="K105" s="309"/>
      <c r="L105" s="309"/>
      <c r="M105" s="311"/>
      <c r="N105" s="308"/>
    </row>
    <row r="106" spans="1:14" ht="16.5" hidden="1" customHeight="1">
      <c r="A106" s="280" t="s">
        <v>238</v>
      </c>
      <c r="B106" s="307" t="s">
        <v>157</v>
      </c>
      <c r="C106" s="308"/>
      <c r="D106" s="308"/>
      <c r="E106" s="308"/>
      <c r="F106" s="308"/>
      <c r="G106" s="308"/>
      <c r="H106" s="309"/>
      <c r="I106" s="310"/>
      <c r="J106" s="310"/>
      <c r="K106" s="309"/>
      <c r="L106" s="309"/>
      <c r="M106" s="311"/>
      <c r="N106" s="308"/>
    </row>
    <row r="107" spans="1:14" ht="16.5" hidden="1" customHeight="1">
      <c r="A107" s="280" t="s">
        <v>239</v>
      </c>
      <c r="B107" s="307" t="s">
        <v>157</v>
      </c>
      <c r="C107" s="308"/>
      <c r="D107" s="308"/>
      <c r="E107" s="308"/>
      <c r="F107" s="308"/>
      <c r="G107" s="308"/>
      <c r="H107" s="309">
        <v>0</v>
      </c>
      <c r="I107" s="310"/>
      <c r="J107" s="310"/>
      <c r="K107" s="309"/>
      <c r="L107" s="309"/>
      <c r="M107" s="311"/>
      <c r="N107" s="308"/>
    </row>
    <row r="108" spans="1:14" ht="16.5" hidden="1" customHeight="1">
      <c r="A108" s="280" t="s">
        <v>240</v>
      </c>
      <c r="B108" s="307" t="s">
        <v>157</v>
      </c>
      <c r="C108" s="308"/>
      <c r="D108" s="308"/>
      <c r="E108" s="308"/>
      <c r="F108" s="308"/>
      <c r="G108" s="308"/>
      <c r="H108" s="309"/>
      <c r="I108" s="310"/>
      <c r="J108" s="310"/>
      <c r="K108" s="309"/>
      <c r="L108" s="309"/>
      <c r="M108" s="311"/>
      <c r="N108" s="308"/>
    </row>
    <row r="109" spans="1:14" ht="16.5" hidden="1" customHeight="1">
      <c r="A109" s="280" t="s">
        <v>207</v>
      </c>
      <c r="B109" s="307"/>
      <c r="C109" s="308"/>
      <c r="D109" s="308"/>
      <c r="E109" s="308"/>
      <c r="F109" s="308"/>
      <c r="G109" s="308"/>
      <c r="H109" s="309"/>
      <c r="I109" s="310"/>
      <c r="J109" s="310"/>
      <c r="K109" s="309"/>
      <c r="L109" s="309"/>
      <c r="M109" s="311"/>
      <c r="N109" s="308"/>
    </row>
    <row r="110" spans="1:14" ht="16.5" hidden="1" customHeight="1">
      <c r="A110" s="280"/>
      <c r="B110" s="307"/>
      <c r="C110" s="308"/>
      <c r="D110" s="308"/>
      <c r="E110" s="308"/>
      <c r="F110" s="308"/>
      <c r="G110" s="308"/>
      <c r="H110" s="309"/>
      <c r="I110" s="310"/>
      <c r="J110" s="310"/>
      <c r="K110" s="309"/>
      <c r="L110" s="309"/>
      <c r="M110" s="311"/>
      <c r="N110" s="308"/>
    </row>
    <row r="111" spans="1:14" ht="33" hidden="1" customHeight="1">
      <c r="A111" s="284" t="s">
        <v>241</v>
      </c>
      <c r="B111" s="327" t="s">
        <v>242</v>
      </c>
      <c r="C111" s="308"/>
      <c r="D111" s="308"/>
      <c r="E111" s="308"/>
      <c r="F111" s="308"/>
      <c r="G111" s="308"/>
      <c r="H111" s="309"/>
      <c r="I111" s="310"/>
      <c r="J111" s="310"/>
      <c r="K111" s="309"/>
      <c r="L111" s="309"/>
      <c r="M111" s="311"/>
      <c r="N111" s="308"/>
    </row>
    <row r="112" spans="1:14" ht="16.5" hidden="1" customHeight="1">
      <c r="A112" s="280" t="s">
        <v>243</v>
      </c>
      <c r="B112" s="307" t="s">
        <v>117</v>
      </c>
      <c r="C112" s="308"/>
      <c r="D112" s="308"/>
      <c r="E112" s="308"/>
      <c r="F112" s="308"/>
      <c r="G112" s="308"/>
      <c r="H112" s="309"/>
      <c r="I112" s="310"/>
      <c r="J112" s="310"/>
      <c r="K112" s="309"/>
      <c r="L112" s="309"/>
      <c r="M112" s="311"/>
      <c r="N112" s="308"/>
    </row>
    <row r="113" spans="1:14" ht="16.5" hidden="1" customHeight="1">
      <c r="A113" s="280" t="s">
        <v>244</v>
      </c>
      <c r="B113" s="307" t="s">
        <v>121</v>
      </c>
      <c r="C113" s="308"/>
      <c r="D113" s="308"/>
      <c r="E113" s="308"/>
      <c r="F113" s="308"/>
      <c r="G113" s="308"/>
      <c r="H113" s="309"/>
      <c r="I113" s="310"/>
      <c r="J113" s="310"/>
      <c r="K113" s="309"/>
      <c r="L113" s="309"/>
      <c r="M113" s="311"/>
      <c r="N113" s="308"/>
    </row>
    <row r="114" spans="1:14" ht="16.5" hidden="1" customHeight="1">
      <c r="A114" s="280" t="s">
        <v>245</v>
      </c>
      <c r="B114" s="307" t="s">
        <v>121</v>
      </c>
      <c r="C114" s="308"/>
      <c r="D114" s="308"/>
      <c r="E114" s="308"/>
      <c r="F114" s="308"/>
      <c r="G114" s="308"/>
      <c r="H114" s="309"/>
      <c r="I114" s="310"/>
      <c r="J114" s="310"/>
      <c r="K114" s="309"/>
      <c r="L114" s="309"/>
      <c r="M114" s="311"/>
      <c r="N114" s="308"/>
    </row>
    <row r="115" spans="1:14" ht="16.5" hidden="1" customHeight="1">
      <c r="A115" s="280" t="s">
        <v>246</v>
      </c>
      <c r="B115" s="307" t="s">
        <v>121</v>
      </c>
      <c r="C115" s="308"/>
      <c r="D115" s="308"/>
      <c r="E115" s="308"/>
      <c r="F115" s="308"/>
      <c r="G115" s="308"/>
      <c r="H115" s="309"/>
      <c r="I115" s="310"/>
      <c r="J115" s="310"/>
      <c r="K115" s="309"/>
      <c r="L115" s="309"/>
      <c r="M115" s="311"/>
      <c r="N115" s="308"/>
    </row>
    <row r="116" spans="1:14" ht="16.5" hidden="1" customHeight="1">
      <c r="A116" s="280" t="s">
        <v>247</v>
      </c>
      <c r="B116" s="307" t="s">
        <v>121</v>
      </c>
      <c r="C116" s="308"/>
      <c r="D116" s="308"/>
      <c r="E116" s="308"/>
      <c r="F116" s="308"/>
      <c r="G116" s="308"/>
      <c r="H116" s="309"/>
      <c r="I116" s="310"/>
      <c r="J116" s="310"/>
      <c r="K116" s="309"/>
      <c r="L116" s="309"/>
      <c r="M116" s="311"/>
      <c r="N116" s="308"/>
    </row>
    <row r="117" spans="1:14" ht="16.5" hidden="1" customHeight="1">
      <c r="A117" s="136" t="s">
        <v>248</v>
      </c>
      <c r="B117" s="302"/>
      <c r="C117" s="303"/>
      <c r="D117" s="303"/>
      <c r="E117" s="303"/>
      <c r="F117" s="303"/>
      <c r="G117" s="303"/>
      <c r="H117" s="304"/>
      <c r="I117" s="305"/>
      <c r="J117" s="305"/>
      <c r="K117" s="304"/>
      <c r="L117" s="304"/>
      <c r="M117" s="306"/>
      <c r="N117" s="303"/>
    </row>
    <row r="118" spans="1:14" ht="49.5" hidden="1" customHeight="1">
      <c r="A118" s="285" t="s">
        <v>249</v>
      </c>
      <c r="B118" s="307" t="s">
        <v>95</v>
      </c>
      <c r="C118" s="308"/>
      <c r="D118" s="308"/>
      <c r="E118" s="308"/>
      <c r="F118" s="308"/>
      <c r="G118" s="308"/>
      <c r="H118" s="309"/>
      <c r="I118" s="310"/>
      <c r="J118" s="310"/>
      <c r="K118" s="309"/>
      <c r="L118" s="309"/>
      <c r="M118" s="311"/>
      <c r="N118" s="308"/>
    </row>
    <row r="119" spans="1:14" ht="16.5" hidden="1" customHeight="1">
      <c r="A119" s="280"/>
      <c r="B119" s="307"/>
      <c r="C119" s="308"/>
      <c r="D119" s="308"/>
      <c r="E119" s="308"/>
      <c r="F119" s="308"/>
      <c r="G119" s="308"/>
      <c r="H119" s="309"/>
      <c r="I119" s="310"/>
      <c r="J119" s="310"/>
      <c r="K119" s="309"/>
      <c r="L119" s="309"/>
      <c r="M119" s="311"/>
      <c r="N119" s="308"/>
    </row>
    <row r="120" spans="1:14">
      <c r="A120" s="136" t="s">
        <v>250</v>
      </c>
      <c r="B120" s="302"/>
      <c r="C120" s="430">
        <f>C122</f>
        <v>38</v>
      </c>
      <c r="D120" s="430">
        <f>D122</f>
        <v>30</v>
      </c>
      <c r="E120" s="303">
        <f>D120/C120*100</f>
        <v>78.94736842105263</v>
      </c>
      <c r="F120" s="303">
        <f>F121</f>
        <v>100000</v>
      </c>
      <c r="G120" s="303">
        <f>G121</f>
        <v>0</v>
      </c>
      <c r="H120" s="305">
        <f>H122</f>
        <v>100000</v>
      </c>
      <c r="I120" s="305">
        <f>I122</f>
        <v>99999.994000000006</v>
      </c>
      <c r="J120" s="211">
        <f>H120-I120</f>
        <v>5.9999999939464033E-3</v>
      </c>
      <c r="K120" s="304">
        <f>I120/H120*100</f>
        <v>99.999994000000001</v>
      </c>
      <c r="L120" s="305">
        <f>L122</f>
        <v>70888.210000000006</v>
      </c>
      <c r="M120" s="338">
        <f>SUM(L120/I120)*100</f>
        <v>70.888214253292858</v>
      </c>
      <c r="N120" s="303"/>
    </row>
    <row r="121" spans="1:14" ht="16.5" hidden="1" customHeight="1">
      <c r="A121" s="279" t="s">
        <v>251</v>
      </c>
      <c r="B121" s="279"/>
      <c r="C121" s="288">
        <f>C171</f>
        <v>0</v>
      </c>
      <c r="D121" s="288"/>
      <c r="E121" s="288"/>
      <c r="F121" s="288">
        <f>+F122</f>
        <v>100000</v>
      </c>
      <c r="G121" s="288">
        <f>+G122</f>
        <v>0</v>
      </c>
      <c r="H121" s="289">
        <v>100000</v>
      </c>
      <c r="I121" s="290"/>
      <c r="J121" s="290">
        <f>H121-I121</f>
        <v>100000</v>
      </c>
      <c r="K121" s="289"/>
      <c r="L121" s="289"/>
      <c r="M121" s="291"/>
      <c r="N121" s="288"/>
    </row>
    <row r="122" spans="1:14" hidden="1">
      <c r="A122" s="279" t="s">
        <v>175</v>
      </c>
      <c r="B122" s="279"/>
      <c r="C122" s="290">
        <f t="shared" ref="C122:D122" si="2">C124+C172</f>
        <v>38</v>
      </c>
      <c r="D122" s="290">
        <f t="shared" si="2"/>
        <v>30</v>
      </c>
      <c r="E122" s="288"/>
      <c r="F122" s="288">
        <f>F123+F124+F172</f>
        <v>100000</v>
      </c>
      <c r="G122" s="288">
        <f>G124+G172</f>
        <v>0</v>
      </c>
      <c r="H122" s="289">
        <f>H124+H172</f>
        <v>100000</v>
      </c>
      <c r="I122" s="290">
        <f>I124+I172</f>
        <v>99999.994000000006</v>
      </c>
      <c r="J122" s="290">
        <f>H122-I122</f>
        <v>5.9999999939464033E-3</v>
      </c>
      <c r="K122" s="289">
        <f>I122/H122*100</f>
        <v>99.999994000000001</v>
      </c>
      <c r="L122" s="290">
        <f>L124+L172</f>
        <v>70888.210000000006</v>
      </c>
      <c r="M122" s="343">
        <f>SUM(L122/I122)*100</f>
        <v>70.888214253292858</v>
      </c>
      <c r="N122" s="288"/>
    </row>
    <row r="123" spans="1:14" s="137" customFormat="1" ht="16.5" hidden="1" customHeight="1">
      <c r="A123" s="328" t="s">
        <v>252</v>
      </c>
      <c r="B123" s="328" t="s">
        <v>95</v>
      </c>
      <c r="C123" s="329"/>
      <c r="D123" s="329"/>
      <c r="E123" s="329"/>
      <c r="F123" s="329"/>
      <c r="G123" s="329"/>
      <c r="H123" s="330">
        <v>0</v>
      </c>
      <c r="I123" s="331"/>
      <c r="J123" s="332"/>
      <c r="K123" s="330"/>
      <c r="L123" s="330"/>
      <c r="M123" s="333"/>
      <c r="N123" s="329"/>
    </row>
    <row r="124" spans="1:14" s="137" customFormat="1">
      <c r="A124" s="334" t="s">
        <v>253</v>
      </c>
      <c r="B124" s="335" t="s">
        <v>95</v>
      </c>
      <c r="C124" s="336">
        <f>SUM(C125+C132+C137+C143)</f>
        <v>25</v>
      </c>
      <c r="D124" s="336">
        <f>SUM(D125+D132+D137+D143)</f>
        <v>19</v>
      </c>
      <c r="E124" s="336">
        <f>D124/C124*100</f>
        <v>76</v>
      </c>
      <c r="F124" s="336">
        <f>SUM(F125+F132+F137+F143)</f>
        <v>61750</v>
      </c>
      <c r="G124" s="336"/>
      <c r="H124" s="305">
        <f>SUM(H125+H132+H137+H143)</f>
        <v>61750</v>
      </c>
      <c r="I124" s="305">
        <f>SUM(I125+I132+I137+I143)</f>
        <v>64306.781000000003</v>
      </c>
      <c r="J124" s="305">
        <f>H124-I124</f>
        <v>-2556.7810000000027</v>
      </c>
      <c r="K124" s="304">
        <f>I124/H124*100</f>
        <v>104.14053603238867</v>
      </c>
      <c r="L124" s="305">
        <f>SUM(L125+L132+L137+L143)</f>
        <v>44923.511000000006</v>
      </c>
      <c r="M124" s="338">
        <f>SUM(L124/I124)*100</f>
        <v>69.858124293299653</v>
      </c>
      <c r="N124" s="336"/>
    </row>
    <row r="125" spans="1:14" s="137" customFormat="1" ht="16.5" customHeight="1">
      <c r="A125" s="339" t="s">
        <v>99</v>
      </c>
      <c r="B125" s="340"/>
      <c r="C125" s="341">
        <f>SUM(C126:C131)</f>
        <v>3</v>
      </c>
      <c r="D125" s="341">
        <f>SUM(D126:D131)</f>
        <v>3</v>
      </c>
      <c r="E125" s="341">
        <f>D125/C125*100</f>
        <v>100</v>
      </c>
      <c r="F125" s="341">
        <f>SUM(F126:F131)</f>
        <v>7000</v>
      </c>
      <c r="G125" s="341"/>
      <c r="H125" s="342">
        <f>H127+H129+H131</f>
        <v>7000</v>
      </c>
      <c r="I125" s="342">
        <f>I127+I129+I131</f>
        <v>8606.8680000000004</v>
      </c>
      <c r="J125" s="290">
        <f>H125-I125</f>
        <v>-1606.8680000000004</v>
      </c>
      <c r="K125" s="289">
        <f>I125/H125*100</f>
        <v>122.95525714285715</v>
      </c>
      <c r="L125" s="290">
        <f>SUM(L127+L131)</f>
        <v>6309.4880000000003</v>
      </c>
      <c r="M125" s="343">
        <f>SUM(L125/I125)*100</f>
        <v>73.30759574795384</v>
      </c>
      <c r="N125" s="344"/>
    </row>
    <row r="126" spans="1:14" s="137" customFormat="1">
      <c r="A126" s="345" t="s">
        <v>254</v>
      </c>
      <c r="B126" s="346"/>
      <c r="C126" s="347"/>
      <c r="D126" s="347"/>
      <c r="E126" s="347"/>
      <c r="F126" s="347"/>
      <c r="G126" s="347"/>
      <c r="H126" s="348"/>
      <c r="I126" s="310"/>
      <c r="J126" s="349"/>
      <c r="K126" s="348"/>
      <c r="L126" s="348"/>
      <c r="M126" s="350"/>
      <c r="N126" s="351"/>
    </row>
    <row r="127" spans="1:14" s="137" customFormat="1" ht="33" customHeight="1">
      <c r="A127" s="448" t="s">
        <v>255</v>
      </c>
      <c r="B127" s="286" t="s">
        <v>95</v>
      </c>
      <c r="C127" s="352">
        <v>1</v>
      </c>
      <c r="D127" s="352">
        <v>1</v>
      </c>
      <c r="E127" s="352">
        <f>D18/C18*100</f>
        <v>100</v>
      </c>
      <c r="F127" s="352">
        <v>1000</v>
      </c>
      <c r="G127" s="352"/>
      <c r="H127" s="353">
        <v>1000</v>
      </c>
      <c r="I127" s="295">
        <v>967.09799999999996</v>
      </c>
      <c r="J127" s="295">
        <f>H127-I127</f>
        <v>32.902000000000044</v>
      </c>
      <c r="K127" s="294">
        <f>I127/H127*100</f>
        <v>96.709799999999987</v>
      </c>
      <c r="L127" s="295">
        <v>967.09799999999996</v>
      </c>
      <c r="M127" s="457">
        <f>SUM(L127/I127)*100</f>
        <v>100</v>
      </c>
      <c r="N127" s="351" t="s">
        <v>426</v>
      </c>
    </row>
    <row r="128" spans="1:14" s="137" customFormat="1" ht="21" customHeight="1">
      <c r="A128" s="453" t="s">
        <v>420</v>
      </c>
      <c r="B128" s="286"/>
      <c r="C128" s="352"/>
      <c r="D128" s="352"/>
      <c r="E128" s="352"/>
      <c r="F128" s="352"/>
      <c r="G128" s="352"/>
      <c r="H128" s="356"/>
      <c r="I128" s="295"/>
      <c r="J128" s="295"/>
      <c r="K128" s="295"/>
      <c r="L128" s="356"/>
      <c r="M128" s="457"/>
      <c r="N128" s="351"/>
    </row>
    <row r="129" spans="1:15" s="137" customFormat="1" ht="39" customHeight="1">
      <c r="A129" s="455" t="s">
        <v>421</v>
      </c>
      <c r="B129" s="286" t="s">
        <v>95</v>
      </c>
      <c r="C129" s="352">
        <v>1</v>
      </c>
      <c r="D129" s="352">
        <v>1</v>
      </c>
      <c r="E129" s="352">
        <v>100</v>
      </c>
      <c r="F129" s="352"/>
      <c r="G129" s="352"/>
      <c r="H129" s="356"/>
      <c r="I129" s="295">
        <v>2297.38</v>
      </c>
      <c r="J129" s="295">
        <v>0</v>
      </c>
      <c r="K129" s="295">
        <v>0</v>
      </c>
      <c r="L129" s="356">
        <v>2297.38</v>
      </c>
      <c r="M129" s="457">
        <f>SUM(L129/I129)*100</f>
        <v>100</v>
      </c>
      <c r="N129" s="351" t="s">
        <v>423</v>
      </c>
    </row>
    <row r="130" spans="1:15" s="137" customFormat="1">
      <c r="A130" s="453" t="s">
        <v>256</v>
      </c>
      <c r="B130" s="286"/>
      <c r="C130" s="352"/>
      <c r="D130" s="352"/>
      <c r="E130" s="352"/>
      <c r="F130" s="352"/>
      <c r="G130" s="352"/>
      <c r="H130" s="353"/>
      <c r="I130" s="295"/>
      <c r="J130" s="356"/>
      <c r="K130" s="353"/>
      <c r="L130" s="353"/>
      <c r="M130" s="354"/>
      <c r="N130" s="351"/>
    </row>
    <row r="131" spans="1:15" s="137" customFormat="1">
      <c r="A131" s="450" t="s">
        <v>257</v>
      </c>
      <c r="B131" s="286" t="s">
        <v>95</v>
      </c>
      <c r="C131" s="352">
        <v>1</v>
      </c>
      <c r="D131" s="352">
        <v>1</v>
      </c>
      <c r="E131" s="352">
        <v>100</v>
      </c>
      <c r="F131" s="352">
        <v>6000</v>
      </c>
      <c r="G131" s="352"/>
      <c r="H131" s="353">
        <v>6000</v>
      </c>
      <c r="I131" s="295">
        <v>5342.39</v>
      </c>
      <c r="J131" s="295">
        <f>H131-I131</f>
        <v>657.60999999999967</v>
      </c>
      <c r="K131" s="294">
        <f>I131/H131*100</f>
        <v>89.039833333333334</v>
      </c>
      <c r="L131" s="295">
        <v>5342.39</v>
      </c>
      <c r="M131" s="457">
        <f>SUM(L131/I131)*100</f>
        <v>100</v>
      </c>
      <c r="N131" s="351" t="s">
        <v>78</v>
      </c>
    </row>
    <row r="132" spans="1:15" s="137" customFormat="1">
      <c r="A132" s="357" t="s">
        <v>98</v>
      </c>
      <c r="B132" s="358"/>
      <c r="C132" s="341">
        <f>SUM(C133:C136)</f>
        <v>2</v>
      </c>
      <c r="D132" s="341">
        <f>SUM(D133:D136)</f>
        <v>2</v>
      </c>
      <c r="E132" s="341">
        <f>D132/C132*100</f>
        <v>100</v>
      </c>
      <c r="F132" s="341">
        <f>SUM(F133:F136)</f>
        <v>3800</v>
      </c>
      <c r="G132" s="341"/>
      <c r="H132" s="342">
        <f>SUM(H134+H136)</f>
        <v>3800</v>
      </c>
      <c r="I132" s="290">
        <f>SUM(I134+I136)</f>
        <v>3686.48</v>
      </c>
      <c r="J132" s="290">
        <f>H132-I132</f>
        <v>113.51999999999998</v>
      </c>
      <c r="K132" s="289">
        <f>I132/H132*100</f>
        <v>97.012631578947378</v>
      </c>
      <c r="L132" s="290">
        <f>SUM(L134+L136)</f>
        <v>3492.88</v>
      </c>
      <c r="M132" s="343">
        <f>SUM(L132/I132)*100</f>
        <v>94.748377856383328</v>
      </c>
      <c r="N132" s="351"/>
    </row>
    <row r="133" spans="1:15" s="137" customFormat="1">
      <c r="A133" s="359" t="s">
        <v>258</v>
      </c>
      <c r="B133" s="286"/>
      <c r="C133" s="352"/>
      <c r="D133" s="352"/>
      <c r="E133" s="352"/>
      <c r="F133" s="352"/>
      <c r="G133" s="352"/>
      <c r="H133" s="353"/>
      <c r="I133" s="295"/>
      <c r="J133" s="356"/>
      <c r="K133" s="353"/>
      <c r="L133" s="353"/>
      <c r="M133" s="354"/>
      <c r="N133" s="351"/>
    </row>
    <row r="134" spans="1:15" s="137" customFormat="1" ht="33" customHeight="1">
      <c r="A134" s="449" t="s">
        <v>259</v>
      </c>
      <c r="B134" s="286" t="s">
        <v>95</v>
      </c>
      <c r="C134" s="352">
        <v>1</v>
      </c>
      <c r="D134" s="352">
        <v>1</v>
      </c>
      <c r="E134" s="352">
        <f>D18/C18*100</f>
        <v>100</v>
      </c>
      <c r="F134" s="352">
        <v>1800</v>
      </c>
      <c r="G134" s="352"/>
      <c r="H134" s="356">
        <v>1800</v>
      </c>
      <c r="I134" s="295">
        <v>1750.46</v>
      </c>
      <c r="J134" s="295">
        <f>H134-I134</f>
        <v>49.539999999999964</v>
      </c>
      <c r="K134" s="295">
        <f>I134/H134*100</f>
        <v>97.24777777777777</v>
      </c>
      <c r="L134" s="356">
        <v>1750.46</v>
      </c>
      <c r="M134" s="354">
        <f>SUM(L134/I134)*100</f>
        <v>100</v>
      </c>
      <c r="N134" s="351" t="s">
        <v>78</v>
      </c>
    </row>
    <row r="135" spans="1:15" s="137" customFormat="1">
      <c r="A135" s="452" t="s">
        <v>260</v>
      </c>
      <c r="B135" s="286"/>
      <c r="C135" s="352"/>
      <c r="D135" s="352"/>
      <c r="E135" s="352"/>
      <c r="F135" s="352"/>
      <c r="G135" s="352"/>
      <c r="H135" s="356"/>
      <c r="I135" s="295"/>
      <c r="J135" s="356"/>
      <c r="K135" s="356"/>
      <c r="L135" s="356"/>
      <c r="M135" s="354"/>
      <c r="N135" s="351"/>
    </row>
    <row r="136" spans="1:15" s="137" customFormat="1" ht="48" customHeight="1">
      <c r="A136" s="448" t="s">
        <v>261</v>
      </c>
      <c r="B136" s="286" t="s">
        <v>95</v>
      </c>
      <c r="C136" s="352">
        <v>1</v>
      </c>
      <c r="D136" s="352">
        <v>1</v>
      </c>
      <c r="E136" s="352">
        <f>D18/C18*100</f>
        <v>100</v>
      </c>
      <c r="F136" s="352">
        <v>2000</v>
      </c>
      <c r="G136" s="352"/>
      <c r="H136" s="356">
        <v>2000</v>
      </c>
      <c r="I136" s="295">
        <v>1936.02</v>
      </c>
      <c r="J136" s="295">
        <f>H136-I136</f>
        <v>63.980000000000018</v>
      </c>
      <c r="K136" s="295">
        <f>I136/H136*100</f>
        <v>96.801000000000002</v>
      </c>
      <c r="L136" s="356">
        <v>1742.42</v>
      </c>
      <c r="M136" s="354">
        <f>SUM(L136/I136)*100</f>
        <v>90.000103304717925</v>
      </c>
      <c r="N136" s="351" t="s">
        <v>426</v>
      </c>
      <c r="O136" s="459"/>
    </row>
    <row r="137" spans="1:15" s="137" customFormat="1">
      <c r="A137" s="458" t="s">
        <v>97</v>
      </c>
      <c r="B137" s="358"/>
      <c r="C137" s="341">
        <f>SUM(C138:C142)</f>
        <v>3</v>
      </c>
      <c r="D137" s="341">
        <f>SUM(D138:D142)</f>
        <v>3</v>
      </c>
      <c r="E137" s="341">
        <f>D137/C137*100</f>
        <v>100</v>
      </c>
      <c r="F137" s="341">
        <f>SUM(F138:F142)</f>
        <v>8400</v>
      </c>
      <c r="G137" s="341"/>
      <c r="H137" s="342">
        <f>SUM(H139+H141+H142)</f>
        <v>8400</v>
      </c>
      <c r="I137" s="290">
        <f>SUM(I139+I141+I142)</f>
        <v>8272.473</v>
      </c>
      <c r="J137" s="290">
        <f>H137-I137</f>
        <v>127.52700000000004</v>
      </c>
      <c r="K137" s="290">
        <f>I137/H137*100</f>
        <v>98.481821428571422</v>
      </c>
      <c r="L137" s="290">
        <f>SUM(L139+L141+L142)</f>
        <v>7445.2199999999993</v>
      </c>
      <c r="M137" s="343">
        <f>SUM(L137/I137)*100</f>
        <v>89.999931096783257</v>
      </c>
      <c r="N137" s="351"/>
    </row>
    <row r="138" spans="1:15" s="137" customFormat="1">
      <c r="A138" s="355" t="s">
        <v>262</v>
      </c>
      <c r="B138" s="286"/>
      <c r="C138" s="352"/>
      <c r="D138" s="352"/>
      <c r="E138" s="352"/>
      <c r="F138" s="352"/>
      <c r="G138" s="352"/>
      <c r="H138" s="353"/>
      <c r="I138" s="295"/>
      <c r="J138" s="356"/>
      <c r="K138" s="353"/>
      <c r="L138" s="353"/>
      <c r="M138" s="354"/>
      <c r="N138" s="351"/>
    </row>
    <row r="139" spans="1:15" s="137" customFormat="1">
      <c r="A139" s="450" t="s">
        <v>393</v>
      </c>
      <c r="B139" s="286" t="s">
        <v>95</v>
      </c>
      <c r="C139" s="352">
        <v>1</v>
      </c>
      <c r="D139" s="352">
        <v>1</v>
      </c>
      <c r="E139" s="352">
        <f>D18/C18*100</f>
        <v>100</v>
      </c>
      <c r="F139" s="352">
        <v>2500</v>
      </c>
      <c r="G139" s="352"/>
      <c r="H139" s="353">
        <v>2500</v>
      </c>
      <c r="I139" s="295">
        <v>2486.913</v>
      </c>
      <c r="J139" s="295">
        <f>H139-I139</f>
        <v>13.086999999999989</v>
      </c>
      <c r="K139" s="294">
        <f>I139/H139*100</f>
        <v>99.476520000000008</v>
      </c>
      <c r="L139" s="353">
        <v>2238.2199999999998</v>
      </c>
      <c r="M139" s="354">
        <f>SUM(L139/I139)*100</f>
        <v>89.999931642160362</v>
      </c>
      <c r="N139" s="351" t="s">
        <v>78</v>
      </c>
    </row>
    <row r="140" spans="1:15" s="137" customFormat="1">
      <c r="A140" s="454" t="s">
        <v>263</v>
      </c>
      <c r="B140" s="286"/>
      <c r="C140" s="352"/>
      <c r="D140" s="352"/>
      <c r="E140" s="352"/>
      <c r="F140" s="352"/>
      <c r="G140" s="352"/>
      <c r="H140" s="353"/>
      <c r="I140" s="295"/>
      <c r="J140" s="356"/>
      <c r="K140" s="353"/>
      <c r="L140" s="353"/>
      <c r="M140" s="354"/>
      <c r="N140" s="351"/>
    </row>
    <row r="141" spans="1:15" s="137" customFormat="1" ht="42.75" customHeight="1">
      <c r="A141" s="448" t="s">
        <v>264</v>
      </c>
      <c r="B141" s="286" t="s">
        <v>95</v>
      </c>
      <c r="C141" s="352">
        <v>1</v>
      </c>
      <c r="D141" s="352">
        <v>1</v>
      </c>
      <c r="E141" s="352">
        <f>C141/D141*100</f>
        <v>100</v>
      </c>
      <c r="F141" s="352">
        <v>2800</v>
      </c>
      <c r="G141" s="352"/>
      <c r="H141" s="353">
        <v>2800</v>
      </c>
      <c r="I141" s="295">
        <v>2700</v>
      </c>
      <c r="J141" s="295">
        <f>H141-I141</f>
        <v>100</v>
      </c>
      <c r="K141" s="294">
        <f>I141/H141*100</f>
        <v>96.428571428571431</v>
      </c>
      <c r="L141" s="353">
        <v>2430</v>
      </c>
      <c r="M141" s="296">
        <f>SUM(L141/I141)*100</f>
        <v>90</v>
      </c>
      <c r="N141" s="351" t="s">
        <v>426</v>
      </c>
    </row>
    <row r="142" spans="1:15" s="137" customFormat="1" ht="71.25" customHeight="1">
      <c r="A142" s="450" t="s">
        <v>265</v>
      </c>
      <c r="B142" s="286" t="s">
        <v>95</v>
      </c>
      <c r="C142" s="352">
        <v>1</v>
      </c>
      <c r="D142" s="352">
        <v>1</v>
      </c>
      <c r="E142" s="352">
        <f>D18/C18*100</f>
        <v>100</v>
      </c>
      <c r="F142" s="352">
        <v>3100</v>
      </c>
      <c r="G142" s="352"/>
      <c r="H142" s="353">
        <v>3100</v>
      </c>
      <c r="I142" s="295">
        <v>3085.56</v>
      </c>
      <c r="J142" s="295">
        <f>H142-I142</f>
        <v>14.440000000000055</v>
      </c>
      <c r="K142" s="294">
        <f>I142/H142*100</f>
        <v>99.534193548387094</v>
      </c>
      <c r="L142" s="353">
        <v>2777</v>
      </c>
      <c r="M142" s="354">
        <f>SUM(L142/I142)*100</f>
        <v>89.999870363888562</v>
      </c>
      <c r="N142" s="351" t="s">
        <v>426</v>
      </c>
    </row>
    <row r="143" spans="1:15" s="137" customFormat="1">
      <c r="A143" s="357" t="s">
        <v>96</v>
      </c>
      <c r="B143" s="358"/>
      <c r="C143" s="341">
        <f>SUM(C144:C171)</f>
        <v>17</v>
      </c>
      <c r="D143" s="341">
        <f>SUM(D144:D171)</f>
        <v>11</v>
      </c>
      <c r="E143" s="341">
        <f>D143/C143*100</f>
        <v>64.705882352941174</v>
      </c>
      <c r="F143" s="341">
        <f>SUM(F144:F171)</f>
        <v>42550</v>
      </c>
      <c r="G143" s="341"/>
      <c r="H143" s="342">
        <f>H145+H146+H148+H150+H152+H153+H154+H156+H160+H161+H163+H165+H166+H168+H169+H170+H158</f>
        <v>42550</v>
      </c>
      <c r="I143" s="290">
        <f>SUM(I145+I146+I148+I150+I152+I153+I154+I156+I160+I161+I163+I165+I166+I168+I169+I170+I158)</f>
        <v>43740.959999999999</v>
      </c>
      <c r="J143" s="290">
        <f>H143-I143</f>
        <v>-1190.9599999999991</v>
      </c>
      <c r="K143" s="289">
        <f>I143/H143*100</f>
        <v>102.79896592244417</v>
      </c>
      <c r="L143" s="290">
        <f>SUM(L145+L146+L148+L150+L152+L153+L154+L156+L160+L161+L163+L165+L166+L168+L169+L170)</f>
        <v>27675.923000000006</v>
      </c>
      <c r="M143" s="343">
        <f>SUM(L143/I143)*100</f>
        <v>63.272326441852236</v>
      </c>
      <c r="N143" s="351"/>
    </row>
    <row r="144" spans="1:15" s="137" customFormat="1">
      <c r="A144" s="359" t="s">
        <v>266</v>
      </c>
      <c r="B144" s="286"/>
      <c r="C144" s="352"/>
      <c r="D144" s="352"/>
      <c r="E144" s="352"/>
      <c r="F144" s="352"/>
      <c r="G144" s="352"/>
      <c r="H144" s="353"/>
      <c r="I144" s="295"/>
      <c r="J144" s="356"/>
      <c r="K144" s="353"/>
      <c r="L144" s="353"/>
      <c r="M144" s="354"/>
      <c r="N144" s="351"/>
    </row>
    <row r="145" spans="1:14" s="137" customFormat="1" ht="58.5" customHeight="1">
      <c r="A145" s="448" t="s">
        <v>267</v>
      </c>
      <c r="B145" s="286" t="s">
        <v>95</v>
      </c>
      <c r="C145" s="352">
        <v>1</v>
      </c>
      <c r="D145" s="352"/>
      <c r="E145" s="352"/>
      <c r="F145" s="352">
        <v>5150</v>
      </c>
      <c r="G145" s="352"/>
      <c r="H145" s="353">
        <v>5150</v>
      </c>
      <c r="I145" s="295">
        <v>4985.0659999999998</v>
      </c>
      <c r="J145" s="295">
        <f>H145-I145</f>
        <v>164.9340000000002</v>
      </c>
      <c r="K145" s="294">
        <f>I145/H145*100</f>
        <v>96.797398058252426</v>
      </c>
      <c r="L145" s="353">
        <v>3767.21</v>
      </c>
      <c r="M145" s="354">
        <f>SUM(L145/I145)*100</f>
        <v>75.56991221380018</v>
      </c>
      <c r="N145" s="390" t="s">
        <v>457</v>
      </c>
    </row>
    <row r="146" spans="1:14" s="137" customFormat="1" ht="51.75" customHeight="1">
      <c r="A146" s="455" t="s">
        <v>268</v>
      </c>
      <c r="B146" s="286" t="s">
        <v>95</v>
      </c>
      <c r="C146" s="352">
        <v>1</v>
      </c>
      <c r="D146" s="352">
        <v>1</v>
      </c>
      <c r="E146" s="352">
        <f>D18/C18*100</f>
        <v>100</v>
      </c>
      <c r="F146" s="352">
        <v>1200</v>
      </c>
      <c r="G146" s="352"/>
      <c r="H146" s="353">
        <v>1200</v>
      </c>
      <c r="I146" s="295">
        <v>1135.992</v>
      </c>
      <c r="J146" s="295">
        <f>H146-I146</f>
        <v>64.008000000000038</v>
      </c>
      <c r="K146" s="294">
        <f>I146/H146*100</f>
        <v>94.665999999999997</v>
      </c>
      <c r="L146" s="353">
        <v>1022.39</v>
      </c>
      <c r="M146" s="354">
        <f>SUM(L146/I146)*100</f>
        <v>89.999753519390978</v>
      </c>
      <c r="N146" s="390" t="s">
        <v>426</v>
      </c>
    </row>
    <row r="147" spans="1:14" s="137" customFormat="1">
      <c r="A147" s="391" t="s">
        <v>269</v>
      </c>
      <c r="B147" s="286"/>
      <c r="C147" s="352"/>
      <c r="D147" s="352"/>
      <c r="E147" s="352"/>
      <c r="F147" s="352"/>
      <c r="G147" s="352"/>
      <c r="H147" s="353"/>
      <c r="I147" s="295"/>
      <c r="J147" s="356"/>
      <c r="K147" s="353"/>
      <c r="L147" s="353"/>
      <c r="M147" s="354"/>
      <c r="N147" s="351"/>
    </row>
    <row r="148" spans="1:14" s="137" customFormat="1" ht="38.25" customHeight="1">
      <c r="A148" s="365" t="s">
        <v>270</v>
      </c>
      <c r="B148" s="286" t="s">
        <v>95</v>
      </c>
      <c r="C148" s="352">
        <v>1</v>
      </c>
      <c r="D148" s="352">
        <v>1</v>
      </c>
      <c r="E148" s="352">
        <v>100</v>
      </c>
      <c r="F148" s="352">
        <v>3000</v>
      </c>
      <c r="G148" s="352"/>
      <c r="H148" s="353">
        <v>3000</v>
      </c>
      <c r="I148" s="295">
        <v>2849.9720000000002</v>
      </c>
      <c r="J148" s="295">
        <f>H148-I148</f>
        <v>150.02799999999979</v>
      </c>
      <c r="K148" s="294">
        <f>I148/H148*100</f>
        <v>94.999066666666678</v>
      </c>
      <c r="L148" s="353">
        <v>2004.39</v>
      </c>
      <c r="M148" s="354">
        <f>SUM(L148/I148)*100</f>
        <v>70.330164647231612</v>
      </c>
      <c r="N148" s="351" t="s">
        <v>444</v>
      </c>
    </row>
    <row r="149" spans="1:14" s="137" customFormat="1">
      <c r="A149" s="391" t="s">
        <v>271</v>
      </c>
      <c r="B149" s="286"/>
      <c r="C149" s="352"/>
      <c r="D149" s="352"/>
      <c r="E149" s="352"/>
      <c r="F149" s="352"/>
      <c r="G149" s="352"/>
      <c r="H149" s="353"/>
      <c r="I149" s="295"/>
      <c r="J149" s="356"/>
      <c r="K149" s="353"/>
      <c r="L149" s="353"/>
      <c r="M149" s="354"/>
      <c r="N149" s="351"/>
    </row>
    <row r="150" spans="1:14" s="137" customFormat="1" ht="48" customHeight="1">
      <c r="A150" s="450" t="s">
        <v>272</v>
      </c>
      <c r="B150" s="286" t="s">
        <v>95</v>
      </c>
      <c r="C150" s="352">
        <v>1</v>
      </c>
      <c r="D150" s="352">
        <v>1</v>
      </c>
      <c r="E150" s="352">
        <f>D18/C18*100</f>
        <v>100</v>
      </c>
      <c r="F150" s="352">
        <v>3000</v>
      </c>
      <c r="G150" s="352"/>
      <c r="H150" s="353">
        <v>3000</v>
      </c>
      <c r="I150" s="295">
        <v>2781.73</v>
      </c>
      <c r="J150" s="295">
        <f>H150-I150</f>
        <v>218.26999999999998</v>
      </c>
      <c r="K150" s="294">
        <f>I150/H150*100</f>
        <v>92.724333333333334</v>
      </c>
      <c r="L150" s="295">
        <v>2781.73</v>
      </c>
      <c r="M150" s="354">
        <f>SUM(L150/I150)*100</f>
        <v>100</v>
      </c>
      <c r="N150" s="351" t="s">
        <v>78</v>
      </c>
    </row>
    <row r="151" spans="1:14" s="137" customFormat="1">
      <c r="A151" s="454" t="s">
        <v>273</v>
      </c>
      <c r="B151" s="286"/>
      <c r="C151" s="352"/>
      <c r="D151" s="352"/>
      <c r="E151" s="352"/>
      <c r="F151" s="352"/>
      <c r="G151" s="352"/>
      <c r="H151" s="353"/>
      <c r="I151" s="295"/>
      <c r="J151" s="356"/>
      <c r="K151" s="353"/>
      <c r="L151" s="353"/>
      <c r="M151" s="354"/>
      <c r="N151" s="351"/>
    </row>
    <row r="152" spans="1:14" s="137" customFormat="1" ht="33.75" customHeight="1">
      <c r="A152" s="448" t="s">
        <v>274</v>
      </c>
      <c r="B152" s="286" t="s">
        <v>95</v>
      </c>
      <c r="C152" s="352">
        <v>1</v>
      </c>
      <c r="D152" s="352">
        <v>1</v>
      </c>
      <c r="E152" s="352">
        <f>D18/C18*100</f>
        <v>100</v>
      </c>
      <c r="F152" s="352">
        <v>1000</v>
      </c>
      <c r="G152" s="352"/>
      <c r="H152" s="353">
        <v>1000</v>
      </c>
      <c r="I152" s="295">
        <v>989.86</v>
      </c>
      <c r="J152" s="295">
        <f>H152-I152</f>
        <v>10.139999999999986</v>
      </c>
      <c r="K152" s="294">
        <f t="shared" ref="K152:K170" si="3">I152/H152*100</f>
        <v>98.98599999999999</v>
      </c>
      <c r="L152" s="295">
        <v>890.88</v>
      </c>
      <c r="M152" s="354">
        <f>SUM(L152/I152)*100</f>
        <v>90.000606146323719</v>
      </c>
      <c r="N152" s="351" t="s">
        <v>78</v>
      </c>
    </row>
    <row r="153" spans="1:14" s="137" customFormat="1" ht="33.75" customHeight="1">
      <c r="A153" s="450" t="s">
        <v>275</v>
      </c>
      <c r="B153" s="286" t="s">
        <v>95</v>
      </c>
      <c r="C153" s="352">
        <v>1</v>
      </c>
      <c r="D153" s="352">
        <v>1</v>
      </c>
      <c r="E153" s="352">
        <f>D18/C18*100</f>
        <v>100</v>
      </c>
      <c r="F153" s="352">
        <v>200</v>
      </c>
      <c r="G153" s="352"/>
      <c r="H153" s="353">
        <v>200</v>
      </c>
      <c r="I153" s="295">
        <v>190.13</v>
      </c>
      <c r="J153" s="295">
        <f>H153-I153</f>
        <v>9.8700000000000045</v>
      </c>
      <c r="K153" s="294">
        <f t="shared" si="3"/>
        <v>95.064999999999998</v>
      </c>
      <c r="L153" s="295">
        <v>171.11</v>
      </c>
      <c r="M153" s="354">
        <f>SUM(L153/I153)*100</f>
        <v>89.996318308525758</v>
      </c>
      <c r="N153" s="351" t="s">
        <v>78</v>
      </c>
    </row>
    <row r="154" spans="1:14" s="137" customFormat="1" ht="56.25" customHeight="1">
      <c r="A154" s="449" t="s">
        <v>276</v>
      </c>
      <c r="B154" s="286" t="s">
        <v>95</v>
      </c>
      <c r="C154" s="352">
        <v>1</v>
      </c>
      <c r="D154" s="352">
        <v>1</v>
      </c>
      <c r="E154" s="352">
        <f>C176/D176*100</f>
        <v>100</v>
      </c>
      <c r="F154" s="352">
        <v>500</v>
      </c>
      <c r="G154" s="352"/>
      <c r="H154" s="356">
        <v>500</v>
      </c>
      <c r="I154" s="295">
        <v>460.62200000000001</v>
      </c>
      <c r="J154" s="295">
        <f>H154-I154</f>
        <v>39.377999999999986</v>
      </c>
      <c r="K154" s="295">
        <f t="shared" si="3"/>
        <v>92.124400000000009</v>
      </c>
      <c r="L154" s="295">
        <v>414.5</v>
      </c>
      <c r="M154" s="354">
        <f>SUM(L154/I154)*100</f>
        <v>89.987017554524101</v>
      </c>
      <c r="N154" s="351" t="s">
        <v>426</v>
      </c>
    </row>
    <row r="155" spans="1:14" s="137" customFormat="1">
      <c r="A155" s="418" t="s">
        <v>277</v>
      </c>
      <c r="B155" s="286"/>
      <c r="C155" s="352"/>
      <c r="D155" s="352"/>
      <c r="E155" s="352"/>
      <c r="F155" s="352"/>
      <c r="G155" s="352"/>
      <c r="H155" s="356"/>
      <c r="I155" s="295"/>
      <c r="J155" s="356"/>
      <c r="K155" s="295"/>
      <c r="L155" s="356"/>
      <c r="M155" s="356"/>
      <c r="N155" s="351"/>
    </row>
    <row r="156" spans="1:14" s="137" customFormat="1" ht="42.75" customHeight="1">
      <c r="A156" s="449" t="s">
        <v>278</v>
      </c>
      <c r="B156" s="286" t="s">
        <v>95</v>
      </c>
      <c r="C156" s="352">
        <v>1</v>
      </c>
      <c r="D156" s="352">
        <v>1</v>
      </c>
      <c r="E156" s="352">
        <f>D18/C18*100</f>
        <v>100</v>
      </c>
      <c r="F156" s="352">
        <v>2000</v>
      </c>
      <c r="G156" s="352"/>
      <c r="H156" s="356">
        <v>2000</v>
      </c>
      <c r="I156" s="295">
        <v>1931.6980000000001</v>
      </c>
      <c r="J156" s="295">
        <f>H156-I156</f>
        <v>68.301999999999907</v>
      </c>
      <c r="K156" s="295">
        <f>I156/H156*100</f>
        <v>96.584900000000005</v>
      </c>
      <c r="L156" s="356">
        <v>1931.7</v>
      </c>
      <c r="M156" s="354">
        <f>SUM(L156/I156)*100</f>
        <v>100.00010353585292</v>
      </c>
      <c r="N156" s="351" t="s">
        <v>78</v>
      </c>
    </row>
    <row r="157" spans="1:14" s="137" customFormat="1" ht="18.75" customHeight="1">
      <c r="A157" s="452" t="s">
        <v>418</v>
      </c>
      <c r="B157" s="286"/>
      <c r="C157" s="352"/>
      <c r="D157" s="352"/>
      <c r="E157" s="352"/>
      <c r="F157" s="352"/>
      <c r="G157" s="352"/>
      <c r="H157" s="356"/>
      <c r="I157" s="295"/>
      <c r="J157" s="295"/>
      <c r="K157" s="295"/>
      <c r="L157" s="356"/>
      <c r="M157" s="356"/>
      <c r="N157" s="351"/>
    </row>
    <row r="158" spans="1:14" s="137" customFormat="1" ht="88.5" customHeight="1">
      <c r="A158" s="449" t="s">
        <v>419</v>
      </c>
      <c r="B158" s="460" t="s">
        <v>95</v>
      </c>
      <c r="C158" s="461">
        <v>1</v>
      </c>
      <c r="D158" s="461"/>
      <c r="E158" s="461"/>
      <c r="F158" s="461"/>
      <c r="G158" s="461"/>
      <c r="H158" s="462"/>
      <c r="I158" s="462">
        <v>3759.62</v>
      </c>
      <c r="J158" s="462">
        <v>0</v>
      </c>
      <c r="K158" s="462">
        <v>0</v>
      </c>
      <c r="L158" s="463"/>
      <c r="M158" s="463"/>
      <c r="N158" s="351" t="s">
        <v>458</v>
      </c>
    </row>
    <row r="159" spans="1:14" s="137" customFormat="1">
      <c r="A159" s="452" t="s">
        <v>279</v>
      </c>
      <c r="B159" s="286"/>
      <c r="C159" s="352"/>
      <c r="D159" s="352"/>
      <c r="E159" s="352"/>
      <c r="F159" s="352"/>
      <c r="G159" s="352"/>
      <c r="H159" s="356"/>
      <c r="I159" s="295"/>
      <c r="J159" s="356"/>
      <c r="K159" s="356"/>
      <c r="L159" s="356"/>
      <c r="M159" s="356"/>
      <c r="N159" s="351"/>
    </row>
    <row r="160" spans="1:14" s="137" customFormat="1" ht="39.75" customHeight="1">
      <c r="A160" s="449" t="s">
        <v>280</v>
      </c>
      <c r="B160" s="286" t="s">
        <v>95</v>
      </c>
      <c r="C160" s="352">
        <v>1</v>
      </c>
      <c r="D160" s="352"/>
      <c r="E160" s="352"/>
      <c r="F160" s="352">
        <v>3000</v>
      </c>
      <c r="G160" s="352"/>
      <c r="H160" s="356">
        <v>3000</v>
      </c>
      <c r="I160" s="295">
        <v>2896.0520000000001</v>
      </c>
      <c r="J160" s="295">
        <f>H160-I160</f>
        <v>103.94799999999987</v>
      </c>
      <c r="K160" s="295">
        <f t="shared" si="3"/>
        <v>96.535066666666665</v>
      </c>
      <c r="L160" s="356">
        <v>900.45</v>
      </c>
      <c r="M160" s="354">
        <f>SUM(L160/I160)*100</f>
        <v>31.092328452665907</v>
      </c>
      <c r="N160" s="351" t="s">
        <v>459</v>
      </c>
    </row>
    <row r="161" spans="1:14" s="137" customFormat="1" ht="57" customHeight="1">
      <c r="A161" s="448" t="s">
        <v>281</v>
      </c>
      <c r="B161" s="286" t="s">
        <v>95</v>
      </c>
      <c r="C161" s="352">
        <v>1</v>
      </c>
      <c r="D161" s="352"/>
      <c r="E161" s="352"/>
      <c r="F161" s="352">
        <v>4000</v>
      </c>
      <c r="G161" s="352"/>
      <c r="H161" s="353">
        <v>4000</v>
      </c>
      <c r="I161" s="295">
        <v>4027.8069999999998</v>
      </c>
      <c r="J161" s="295">
        <f>H161-I161</f>
        <v>-27.806999999999789</v>
      </c>
      <c r="K161" s="294">
        <f t="shared" si="3"/>
        <v>100.69517500000001</v>
      </c>
      <c r="L161" s="353">
        <v>2870.17</v>
      </c>
      <c r="M161" s="354">
        <f>SUM(L161/I161)*100</f>
        <v>71.258876108016096</v>
      </c>
      <c r="N161" s="351" t="s">
        <v>460</v>
      </c>
    </row>
    <row r="162" spans="1:14" s="137" customFormat="1">
      <c r="A162" s="453" t="s">
        <v>282</v>
      </c>
      <c r="B162" s="286"/>
      <c r="C162" s="352"/>
      <c r="D162" s="352"/>
      <c r="E162" s="352"/>
      <c r="F162" s="352"/>
      <c r="G162" s="352"/>
      <c r="H162" s="353"/>
      <c r="I162" s="295"/>
      <c r="J162" s="356"/>
      <c r="K162" s="353"/>
      <c r="L162" s="353"/>
      <c r="M162" s="354"/>
      <c r="N162" s="351"/>
    </row>
    <row r="163" spans="1:14" s="137" customFormat="1" ht="42" customHeight="1">
      <c r="A163" s="450" t="s">
        <v>283</v>
      </c>
      <c r="B163" s="286" t="s">
        <v>95</v>
      </c>
      <c r="C163" s="352">
        <v>1</v>
      </c>
      <c r="D163" s="352">
        <v>1</v>
      </c>
      <c r="E163" s="352">
        <v>100</v>
      </c>
      <c r="F163" s="352">
        <v>3000</v>
      </c>
      <c r="G163" s="352"/>
      <c r="H163" s="353">
        <v>3000</v>
      </c>
      <c r="I163" s="295">
        <v>2708.4850000000001</v>
      </c>
      <c r="J163" s="295">
        <f>H163-I163</f>
        <v>291.51499999999987</v>
      </c>
      <c r="K163" s="294">
        <f t="shared" si="3"/>
        <v>90.282833333333329</v>
      </c>
      <c r="L163" s="353">
        <v>2708.49</v>
      </c>
      <c r="M163" s="354">
        <f>SUM(L163/I163)*100</f>
        <v>100.00018460504671</v>
      </c>
      <c r="N163" s="351" t="s">
        <v>78</v>
      </c>
    </row>
    <row r="164" spans="1:14" s="137" customFormat="1">
      <c r="A164" s="454" t="s">
        <v>284</v>
      </c>
      <c r="B164" s="286"/>
      <c r="C164" s="352"/>
      <c r="D164" s="352"/>
      <c r="E164" s="352"/>
      <c r="F164" s="352"/>
      <c r="G164" s="352"/>
      <c r="H164" s="353"/>
      <c r="I164" s="295"/>
      <c r="J164" s="356"/>
      <c r="K164" s="353"/>
      <c r="L164" s="353"/>
      <c r="M164" s="354"/>
      <c r="N164" s="351"/>
    </row>
    <row r="165" spans="1:14" s="137" customFormat="1" ht="54" customHeight="1">
      <c r="A165" s="450" t="s">
        <v>285</v>
      </c>
      <c r="B165" s="286" t="s">
        <v>95</v>
      </c>
      <c r="C165" s="352">
        <v>1</v>
      </c>
      <c r="D165" s="352">
        <v>1</v>
      </c>
      <c r="E165" s="352">
        <v>100</v>
      </c>
      <c r="F165" s="352">
        <v>3000</v>
      </c>
      <c r="G165" s="352"/>
      <c r="H165" s="353">
        <v>3000</v>
      </c>
      <c r="I165" s="295">
        <v>2800.721</v>
      </c>
      <c r="J165" s="295">
        <f>H165-I165</f>
        <v>199.279</v>
      </c>
      <c r="K165" s="294">
        <f t="shared" si="3"/>
        <v>93.357366666666664</v>
      </c>
      <c r="L165" s="353"/>
      <c r="M165" s="354"/>
      <c r="N165" s="390" t="s">
        <v>453</v>
      </c>
    </row>
    <row r="166" spans="1:14" s="137" customFormat="1" ht="57.75" customHeight="1">
      <c r="A166" s="449" t="s">
        <v>286</v>
      </c>
      <c r="B166" s="286" t="s">
        <v>95</v>
      </c>
      <c r="C166" s="352">
        <v>1</v>
      </c>
      <c r="D166" s="352"/>
      <c r="E166" s="352"/>
      <c r="F166" s="352">
        <v>4000</v>
      </c>
      <c r="G166" s="352"/>
      <c r="H166" s="353">
        <v>4000</v>
      </c>
      <c r="I166" s="295">
        <v>3556.84</v>
      </c>
      <c r="J166" s="295">
        <f>H166-I166</f>
        <v>443.15999999999985</v>
      </c>
      <c r="K166" s="294">
        <f t="shared" si="3"/>
        <v>88.921000000000006</v>
      </c>
      <c r="L166" s="353">
        <v>2264.2330000000002</v>
      </c>
      <c r="M166" s="354">
        <f>SUM(L166/I166)*100</f>
        <v>63.658556471474682</v>
      </c>
      <c r="N166" s="390" t="s">
        <v>445</v>
      </c>
    </row>
    <row r="167" spans="1:14" s="137" customFormat="1">
      <c r="A167" s="359" t="s">
        <v>287</v>
      </c>
      <c r="B167" s="286"/>
      <c r="C167" s="352"/>
      <c r="D167" s="352"/>
      <c r="E167" s="352"/>
      <c r="F167" s="352"/>
      <c r="G167" s="352"/>
      <c r="H167" s="353"/>
      <c r="I167" s="295"/>
      <c r="J167" s="356"/>
      <c r="K167" s="353"/>
      <c r="L167" s="353"/>
      <c r="M167" s="354"/>
      <c r="N167" s="351"/>
    </row>
    <row r="168" spans="1:14" s="137" customFormat="1" ht="42.75" customHeight="1">
      <c r="A168" s="450" t="s">
        <v>288</v>
      </c>
      <c r="B168" s="286" t="s">
        <v>95</v>
      </c>
      <c r="C168" s="352">
        <v>1</v>
      </c>
      <c r="D168" s="352"/>
      <c r="E168" s="352"/>
      <c r="F168" s="352">
        <v>2500</v>
      </c>
      <c r="G168" s="352"/>
      <c r="H168" s="353">
        <v>2500</v>
      </c>
      <c r="I168" s="295">
        <v>2422.27</v>
      </c>
      <c r="J168" s="295">
        <f>H168-I168</f>
        <v>77.730000000000018</v>
      </c>
      <c r="K168" s="294">
        <f t="shared" si="3"/>
        <v>96.890799999999999</v>
      </c>
      <c r="L168" s="353"/>
      <c r="M168" s="354"/>
      <c r="N168" s="351" t="s">
        <v>427</v>
      </c>
    </row>
    <row r="169" spans="1:14" s="137" customFormat="1" ht="32.25" customHeight="1">
      <c r="A169" s="448" t="s">
        <v>289</v>
      </c>
      <c r="B169" s="286" t="s">
        <v>95</v>
      </c>
      <c r="C169" s="352">
        <v>1</v>
      </c>
      <c r="D169" s="352">
        <v>1</v>
      </c>
      <c r="E169" s="352">
        <f>D169/C169*100</f>
        <v>100</v>
      </c>
      <c r="F169" s="352">
        <v>4000</v>
      </c>
      <c r="G169" s="352"/>
      <c r="H169" s="353">
        <v>4000</v>
      </c>
      <c r="I169" s="295">
        <v>3502.431</v>
      </c>
      <c r="J169" s="295">
        <f>H169-I169</f>
        <v>497.56899999999996</v>
      </c>
      <c r="K169" s="294">
        <f t="shared" si="3"/>
        <v>87.560775000000007</v>
      </c>
      <c r="L169" s="295">
        <v>3207.01</v>
      </c>
      <c r="M169" s="354">
        <f>SUM(L169/I169)*100</f>
        <v>91.56525853043216</v>
      </c>
      <c r="N169" s="351" t="s">
        <v>78</v>
      </c>
    </row>
    <row r="170" spans="1:14" s="137" customFormat="1" ht="43.5" customHeight="1">
      <c r="A170" s="450" t="s">
        <v>349</v>
      </c>
      <c r="B170" s="286" t="s">
        <v>95</v>
      </c>
      <c r="C170" s="352">
        <v>1</v>
      </c>
      <c r="D170" s="352">
        <v>1</v>
      </c>
      <c r="E170" s="352">
        <f>D18/C18*100</f>
        <v>100</v>
      </c>
      <c r="F170" s="352">
        <v>3000</v>
      </c>
      <c r="G170" s="352"/>
      <c r="H170" s="353">
        <v>3000</v>
      </c>
      <c r="I170" s="295">
        <v>2741.6640000000002</v>
      </c>
      <c r="J170" s="295">
        <f>H170-I170</f>
        <v>258.33599999999979</v>
      </c>
      <c r="K170" s="294">
        <f t="shared" si="3"/>
        <v>91.388800000000003</v>
      </c>
      <c r="L170" s="353">
        <v>2741.66</v>
      </c>
      <c r="M170" s="354">
        <f>SUM(L170/I170)*100</f>
        <v>99.999854103201542</v>
      </c>
      <c r="N170" s="351" t="s">
        <v>78</v>
      </c>
    </row>
    <row r="171" spans="1:14" s="137" customFormat="1">
      <c r="A171" s="286"/>
      <c r="B171" s="286"/>
      <c r="C171" s="352"/>
      <c r="D171" s="352"/>
      <c r="E171" s="352"/>
      <c r="F171" s="352"/>
      <c r="G171" s="352"/>
      <c r="H171" s="353"/>
      <c r="I171" s="295"/>
      <c r="J171" s="356"/>
      <c r="K171" s="353"/>
      <c r="L171" s="353"/>
      <c r="M171" s="354"/>
      <c r="N171" s="351"/>
    </row>
    <row r="172" spans="1:14" s="137" customFormat="1" ht="33" customHeight="1">
      <c r="A172" s="335" t="s">
        <v>290</v>
      </c>
      <c r="B172" s="335" t="s">
        <v>95</v>
      </c>
      <c r="C172" s="336">
        <f>C173+C181+C184</f>
        <v>13</v>
      </c>
      <c r="D172" s="336">
        <f>D173+D181+D184</f>
        <v>11</v>
      </c>
      <c r="E172" s="336">
        <f>D172/C172*100</f>
        <v>84.615384615384613</v>
      </c>
      <c r="F172" s="336">
        <f>F173+F181+F184</f>
        <v>38250</v>
      </c>
      <c r="G172" s="336">
        <f>G173+G181+G184</f>
        <v>0</v>
      </c>
      <c r="H172" s="337">
        <f>SUM(H173+H181+H184)</f>
        <v>38250</v>
      </c>
      <c r="I172" s="305">
        <f>SUM(I173+I181+I184)</f>
        <v>35693.213000000003</v>
      </c>
      <c r="J172" s="305">
        <f>H172-I172</f>
        <v>2556.7869999999966</v>
      </c>
      <c r="K172" s="304">
        <f>I172/H172*100</f>
        <v>93.315589542483664</v>
      </c>
      <c r="L172" s="305">
        <f>SUM(L173+L181+L184)</f>
        <v>25964.699000000001</v>
      </c>
      <c r="M172" s="338">
        <f>SUM(L172/I172)*100</f>
        <v>72.744078825293755</v>
      </c>
      <c r="N172" s="360"/>
    </row>
    <row r="173" spans="1:14" s="137" customFormat="1" ht="27" customHeight="1">
      <c r="A173" s="361" t="s">
        <v>99</v>
      </c>
      <c r="B173" s="340"/>
      <c r="C173" s="341">
        <f>SUM(C174:C180)</f>
        <v>5</v>
      </c>
      <c r="D173" s="341">
        <f>SUM(D174:D180)</f>
        <v>5</v>
      </c>
      <c r="E173" s="341">
        <f>D173/C173*100</f>
        <v>100</v>
      </c>
      <c r="F173" s="341">
        <f>SUM(F174:F180)</f>
        <v>13000</v>
      </c>
      <c r="G173" s="341">
        <f>SUM(G174:G180)</f>
        <v>0</v>
      </c>
      <c r="H173" s="342">
        <f>SUM(H175+H176+H178+H179+H180)</f>
        <v>13000</v>
      </c>
      <c r="I173" s="290">
        <f>SUM(I175+I176+I178+I179+I180)</f>
        <v>12684.308000000001</v>
      </c>
      <c r="J173" s="290">
        <f>H173-I173</f>
        <v>315.6919999999991</v>
      </c>
      <c r="K173" s="289">
        <f>I173/H173*100</f>
        <v>97.571600000000004</v>
      </c>
      <c r="L173" s="290">
        <f>SUM(L175+L176+L178+L179+L180)</f>
        <v>12684.309000000001</v>
      </c>
      <c r="M173" s="343">
        <f>SUM(L173/I173)*100</f>
        <v>100.00000788375685</v>
      </c>
      <c r="N173" s="351"/>
    </row>
    <row r="174" spans="1:14" s="137" customFormat="1">
      <c r="A174" s="362" t="s">
        <v>291</v>
      </c>
      <c r="B174" s="346"/>
      <c r="C174" s="347"/>
      <c r="D174" s="347"/>
      <c r="E174" s="347"/>
      <c r="F174" s="347"/>
      <c r="G174" s="347"/>
      <c r="H174" s="348"/>
      <c r="I174" s="310"/>
      <c r="J174" s="349"/>
      <c r="K174" s="348"/>
      <c r="L174" s="348"/>
      <c r="M174" s="350"/>
      <c r="N174" s="351"/>
    </row>
    <row r="175" spans="1:14" s="137" customFormat="1" ht="43.5" customHeight="1">
      <c r="A175" s="451" t="s">
        <v>292</v>
      </c>
      <c r="B175" s="286" t="s">
        <v>95</v>
      </c>
      <c r="C175" s="352">
        <v>1</v>
      </c>
      <c r="D175" s="352">
        <v>1</v>
      </c>
      <c r="E175" s="352">
        <v>100</v>
      </c>
      <c r="F175" s="352">
        <v>2000</v>
      </c>
      <c r="G175" s="352"/>
      <c r="H175" s="353">
        <v>2000</v>
      </c>
      <c r="I175" s="295">
        <v>1996.4</v>
      </c>
      <c r="J175" s="295">
        <f>H175-I175</f>
        <v>3.5999999999999091</v>
      </c>
      <c r="K175" s="294">
        <f>I175/H175*100</f>
        <v>99.820000000000007</v>
      </c>
      <c r="L175" s="295">
        <v>1996.4</v>
      </c>
      <c r="M175" s="356">
        <f>SUM(L175/I175)*100</f>
        <v>100</v>
      </c>
      <c r="N175" s="351" t="s">
        <v>78</v>
      </c>
    </row>
    <row r="176" spans="1:14" s="137" customFormat="1" ht="36.75" customHeight="1">
      <c r="A176" s="448" t="s">
        <v>293</v>
      </c>
      <c r="B176" s="286" t="s">
        <v>95</v>
      </c>
      <c r="C176" s="352">
        <v>1</v>
      </c>
      <c r="D176" s="352">
        <v>1</v>
      </c>
      <c r="E176" s="352">
        <f>C176/D176*100</f>
        <v>100</v>
      </c>
      <c r="F176" s="352">
        <v>1500</v>
      </c>
      <c r="G176" s="352"/>
      <c r="H176" s="356">
        <v>1500</v>
      </c>
      <c r="I176" s="295">
        <v>1495.8969999999999</v>
      </c>
      <c r="J176" s="295">
        <f>H176-I176</f>
        <v>4.1030000000000655</v>
      </c>
      <c r="K176" s="295">
        <f>I176/H176*100</f>
        <v>99.726466666666653</v>
      </c>
      <c r="L176" s="356">
        <v>1495.9</v>
      </c>
      <c r="M176" s="356">
        <f>SUM(L176/I176)*100</f>
        <v>100.00020054856719</v>
      </c>
      <c r="N176" s="351" t="s">
        <v>78</v>
      </c>
    </row>
    <row r="177" spans="1:14" s="137" customFormat="1">
      <c r="A177" s="428" t="s">
        <v>294</v>
      </c>
      <c r="B177" s="286"/>
      <c r="C177" s="352"/>
      <c r="D177" s="352"/>
      <c r="E177" s="352"/>
      <c r="F177" s="352"/>
      <c r="G177" s="352"/>
      <c r="H177" s="356"/>
      <c r="I177" s="295"/>
      <c r="J177" s="356"/>
      <c r="K177" s="356"/>
      <c r="L177" s="356"/>
      <c r="M177" s="356"/>
      <c r="N177" s="351"/>
    </row>
    <row r="178" spans="1:14" s="137" customFormat="1" ht="24.75" customHeight="1">
      <c r="A178" s="449" t="s">
        <v>295</v>
      </c>
      <c r="B178" s="286" t="s">
        <v>95</v>
      </c>
      <c r="C178" s="352">
        <v>1</v>
      </c>
      <c r="D178" s="352">
        <v>1</v>
      </c>
      <c r="E178" s="352">
        <f>C178/D178*100</f>
        <v>100</v>
      </c>
      <c r="F178" s="352">
        <v>2500</v>
      </c>
      <c r="G178" s="352"/>
      <c r="H178" s="356">
        <v>2500</v>
      </c>
      <c r="I178" s="295">
        <v>2420.547</v>
      </c>
      <c r="J178" s="295">
        <f>H178-I178</f>
        <v>79.452999999999975</v>
      </c>
      <c r="K178" s="295">
        <f>I178/H178*100</f>
        <v>96.821880000000007</v>
      </c>
      <c r="L178" s="356">
        <v>2420.547</v>
      </c>
      <c r="M178" s="356">
        <f>SUM(L178/I178)*100</f>
        <v>100</v>
      </c>
      <c r="N178" s="351" t="s">
        <v>78</v>
      </c>
    </row>
    <row r="179" spans="1:14" s="137" customFormat="1" ht="30.75" customHeight="1">
      <c r="A179" s="449" t="s">
        <v>296</v>
      </c>
      <c r="B179" s="286" t="s">
        <v>95</v>
      </c>
      <c r="C179" s="352">
        <v>1</v>
      </c>
      <c r="D179" s="352">
        <v>1</v>
      </c>
      <c r="E179" s="352">
        <f>C179/D179*100</f>
        <v>100</v>
      </c>
      <c r="F179" s="352">
        <v>2000</v>
      </c>
      <c r="G179" s="352"/>
      <c r="H179" s="356">
        <v>2000</v>
      </c>
      <c r="I179" s="295">
        <v>1936.422</v>
      </c>
      <c r="J179" s="295">
        <f>H179-I179</f>
        <v>63.577999999999975</v>
      </c>
      <c r="K179" s="295">
        <f>I179/H179*100</f>
        <v>96.821100000000001</v>
      </c>
      <c r="L179" s="356">
        <v>1936.42</v>
      </c>
      <c r="M179" s="356">
        <f>SUM(L179/I179)*100</f>
        <v>99.999896716728074</v>
      </c>
      <c r="N179" s="351" t="s">
        <v>78</v>
      </c>
    </row>
    <row r="180" spans="1:14" s="137" customFormat="1" ht="43.5" customHeight="1">
      <c r="A180" s="449" t="s">
        <v>297</v>
      </c>
      <c r="B180" s="286" t="s">
        <v>95</v>
      </c>
      <c r="C180" s="352">
        <v>1</v>
      </c>
      <c r="D180" s="352">
        <v>1</v>
      </c>
      <c r="E180" s="352">
        <f>C180/D180*100</f>
        <v>100</v>
      </c>
      <c r="F180" s="352">
        <v>5000</v>
      </c>
      <c r="G180" s="352"/>
      <c r="H180" s="356">
        <v>5000</v>
      </c>
      <c r="I180" s="295">
        <v>4835.0420000000004</v>
      </c>
      <c r="J180" s="295">
        <f>H180-I180</f>
        <v>164.95799999999963</v>
      </c>
      <c r="K180" s="295">
        <f>I180/H180*100</f>
        <v>96.700840000000014</v>
      </c>
      <c r="L180" s="356">
        <v>4835.0420000000004</v>
      </c>
      <c r="M180" s="356">
        <f>SUM(L180/I180)*100</f>
        <v>100</v>
      </c>
      <c r="N180" s="351" t="s">
        <v>78</v>
      </c>
    </row>
    <row r="181" spans="1:14" s="137" customFormat="1">
      <c r="A181" s="357" t="s">
        <v>97</v>
      </c>
      <c r="B181" s="340"/>
      <c r="C181" s="341">
        <f>SUM(C182:C183)</f>
        <v>1</v>
      </c>
      <c r="D181" s="341">
        <f>SUM(D182:D183)</f>
        <v>1</v>
      </c>
      <c r="E181" s="341">
        <f>D181/C181*100</f>
        <v>100</v>
      </c>
      <c r="F181" s="341">
        <f>SUM(F182:F183)</f>
        <v>3000</v>
      </c>
      <c r="G181" s="341">
        <f>SUM(G182:G183)</f>
        <v>0</v>
      </c>
      <c r="H181" s="342">
        <f>SUM(H183)</f>
        <v>3000</v>
      </c>
      <c r="I181" s="290">
        <f>SUM(I183)</f>
        <v>2766.5120000000002</v>
      </c>
      <c r="J181" s="290">
        <f>H181-I181</f>
        <v>233.48799999999983</v>
      </c>
      <c r="K181" s="289">
        <f>I181/H181*100</f>
        <v>92.217066666666668</v>
      </c>
      <c r="L181" s="290">
        <f>SUM(L183)</f>
        <v>2766.51</v>
      </c>
      <c r="M181" s="343"/>
      <c r="N181" s="351"/>
    </row>
    <row r="182" spans="1:14" s="137" customFormat="1">
      <c r="A182" s="359" t="s">
        <v>298</v>
      </c>
      <c r="B182" s="286"/>
      <c r="C182" s="352"/>
      <c r="D182" s="352"/>
      <c r="E182" s="352"/>
      <c r="F182" s="352"/>
      <c r="G182" s="352"/>
      <c r="H182" s="353"/>
      <c r="I182" s="295"/>
      <c r="J182" s="356"/>
      <c r="K182" s="353"/>
      <c r="L182" s="353"/>
      <c r="M182" s="354"/>
      <c r="N182" s="351"/>
    </row>
    <row r="183" spans="1:14" s="137" customFormat="1" ht="39.75" customHeight="1">
      <c r="A183" s="449" t="s">
        <v>299</v>
      </c>
      <c r="B183" s="286" t="s">
        <v>95</v>
      </c>
      <c r="C183" s="352">
        <v>1</v>
      </c>
      <c r="D183" s="352">
        <v>1</v>
      </c>
      <c r="E183" s="352">
        <f>D18/C18*100</f>
        <v>100</v>
      </c>
      <c r="F183" s="352">
        <v>3000</v>
      </c>
      <c r="G183" s="352"/>
      <c r="H183" s="356">
        <v>3000</v>
      </c>
      <c r="I183" s="295">
        <v>2766.5120000000002</v>
      </c>
      <c r="J183" s="295">
        <f>H183-I183</f>
        <v>233.48799999999983</v>
      </c>
      <c r="K183" s="295">
        <f>I183/H183*100</f>
        <v>92.217066666666668</v>
      </c>
      <c r="L183" s="356">
        <v>2766.51</v>
      </c>
      <c r="M183" s="354"/>
      <c r="N183" s="351" t="s">
        <v>78</v>
      </c>
    </row>
    <row r="184" spans="1:14" s="137" customFormat="1">
      <c r="A184" s="357" t="s">
        <v>96</v>
      </c>
      <c r="B184" s="358"/>
      <c r="C184" s="341">
        <f>SUM(C185:C198)</f>
        <v>7</v>
      </c>
      <c r="D184" s="341">
        <f>SUM(D185:D198)</f>
        <v>5</v>
      </c>
      <c r="E184" s="341">
        <f>D184/C184*100</f>
        <v>71.428571428571431</v>
      </c>
      <c r="F184" s="341">
        <f>SUM(F185:F198)</f>
        <v>22250</v>
      </c>
      <c r="G184" s="341">
        <f>SUM(G185:G198)</f>
        <v>0</v>
      </c>
      <c r="H184" s="342">
        <f>SUM(H186+H188+H190+H192+H194+H196+H198)</f>
        <v>22250</v>
      </c>
      <c r="I184" s="290">
        <f>SUM(I186+I188+I190+I192+I194+I196+I198)</f>
        <v>20242.393</v>
      </c>
      <c r="J184" s="290">
        <f>H184-I184</f>
        <v>2007.607</v>
      </c>
      <c r="K184" s="289">
        <f>I184/H184*100</f>
        <v>90.977047191011238</v>
      </c>
      <c r="L184" s="290">
        <f>SUM(L186+L188+L190+L192+L194+L196+L198)</f>
        <v>10513.88</v>
      </c>
      <c r="M184" s="343"/>
      <c r="N184" s="351"/>
    </row>
    <row r="185" spans="1:14" s="137" customFormat="1">
      <c r="A185" s="359" t="s">
        <v>271</v>
      </c>
      <c r="B185" s="286"/>
      <c r="C185" s="352"/>
      <c r="D185" s="352"/>
      <c r="E185" s="352"/>
      <c r="F185" s="352"/>
      <c r="G185" s="352"/>
      <c r="H185" s="353"/>
      <c r="I185" s="295"/>
      <c r="J185" s="356"/>
      <c r="K185" s="353"/>
      <c r="L185" s="353"/>
      <c r="M185" s="354"/>
      <c r="N185" s="351"/>
    </row>
    <row r="186" spans="1:14" s="137" customFormat="1" ht="26.25" customHeight="1">
      <c r="A186" s="449" t="s">
        <v>300</v>
      </c>
      <c r="B186" s="286" t="s">
        <v>95</v>
      </c>
      <c r="C186" s="352">
        <v>1</v>
      </c>
      <c r="D186" s="352">
        <v>1</v>
      </c>
      <c r="E186" s="352">
        <f>D18/C18*100</f>
        <v>100</v>
      </c>
      <c r="F186" s="352">
        <v>3000</v>
      </c>
      <c r="G186" s="352"/>
      <c r="H186" s="356">
        <v>3000</v>
      </c>
      <c r="I186" s="295">
        <v>2857.8389999999999</v>
      </c>
      <c r="J186" s="295">
        <f>H186-I186</f>
        <v>142.16100000000006</v>
      </c>
      <c r="K186" s="295">
        <f>I186/H186*100</f>
        <v>95.261299999999991</v>
      </c>
      <c r="L186" s="356">
        <v>2857.84</v>
      </c>
      <c r="M186" s="354">
        <f>SUM(L186/I186)*100</f>
        <v>100.00003499147434</v>
      </c>
      <c r="N186" s="351" t="s">
        <v>78</v>
      </c>
    </row>
    <row r="187" spans="1:14" s="137" customFormat="1">
      <c r="A187" s="359" t="s">
        <v>273</v>
      </c>
      <c r="B187" s="286"/>
      <c r="C187" s="352"/>
      <c r="D187" s="352"/>
      <c r="E187" s="352"/>
      <c r="F187" s="352"/>
      <c r="G187" s="352"/>
      <c r="H187" s="353"/>
      <c r="I187" s="295"/>
      <c r="J187" s="356"/>
      <c r="K187" s="353"/>
      <c r="L187" s="353"/>
      <c r="M187" s="354"/>
      <c r="N187" s="351"/>
    </row>
    <row r="188" spans="1:14" s="137" customFormat="1" ht="52.5" customHeight="1">
      <c r="A188" s="450" t="s">
        <v>301</v>
      </c>
      <c r="B188" s="286" t="s">
        <v>95</v>
      </c>
      <c r="C188" s="352">
        <v>1</v>
      </c>
      <c r="D188" s="352">
        <v>1</v>
      </c>
      <c r="E188" s="352">
        <f>D18/C18*100</f>
        <v>100</v>
      </c>
      <c r="F188" s="352">
        <v>3000</v>
      </c>
      <c r="G188" s="352"/>
      <c r="H188" s="353">
        <v>3000</v>
      </c>
      <c r="I188" s="295">
        <v>2954.2649999999999</v>
      </c>
      <c r="J188" s="295">
        <f>H188-I188</f>
        <v>45.735000000000127</v>
      </c>
      <c r="K188" s="294">
        <f>I188/H188*100</f>
        <v>98.475499999999997</v>
      </c>
      <c r="L188" s="295">
        <v>2658.84</v>
      </c>
      <c r="M188" s="354">
        <f>SUM(L188/I188)*100</f>
        <v>90.000050774050408</v>
      </c>
      <c r="N188" s="351" t="s">
        <v>78</v>
      </c>
    </row>
    <row r="189" spans="1:14" s="137" customFormat="1">
      <c r="A189" s="359" t="s">
        <v>302</v>
      </c>
      <c r="B189" s="286"/>
      <c r="C189" s="352"/>
      <c r="D189" s="352"/>
      <c r="E189" s="352"/>
      <c r="F189" s="352"/>
      <c r="G189" s="352"/>
      <c r="H189" s="353"/>
      <c r="I189" s="295"/>
      <c r="J189" s="356"/>
      <c r="K189" s="353"/>
      <c r="L189" s="353"/>
      <c r="M189" s="354"/>
      <c r="N189" s="351"/>
    </row>
    <row r="190" spans="1:14" s="137" customFormat="1" ht="54.75" customHeight="1">
      <c r="A190" s="450" t="s">
        <v>303</v>
      </c>
      <c r="B190" s="286" t="s">
        <v>95</v>
      </c>
      <c r="C190" s="352">
        <v>1</v>
      </c>
      <c r="D190" s="352">
        <v>1</v>
      </c>
      <c r="E190" s="352">
        <v>100</v>
      </c>
      <c r="F190" s="352">
        <v>4000</v>
      </c>
      <c r="G190" s="352"/>
      <c r="H190" s="353">
        <v>4000</v>
      </c>
      <c r="I190" s="295">
        <v>3693.2730000000001</v>
      </c>
      <c r="J190" s="295">
        <f>H190-I190</f>
        <v>306.72699999999986</v>
      </c>
      <c r="K190" s="294">
        <f>I190/H190*100</f>
        <v>92.331824999999995</v>
      </c>
      <c r="L190" s="353">
        <v>2108.1799999999998</v>
      </c>
      <c r="M190" s="354">
        <f>SUM(L190/I190)*100</f>
        <v>57.081618391058555</v>
      </c>
      <c r="N190" s="351" t="s">
        <v>461</v>
      </c>
    </row>
    <row r="191" spans="1:14" s="137" customFormat="1">
      <c r="A191" s="359" t="s">
        <v>277</v>
      </c>
      <c r="B191" s="286"/>
      <c r="C191" s="352"/>
      <c r="D191" s="352"/>
      <c r="E191" s="352"/>
      <c r="F191" s="352"/>
      <c r="G191" s="352"/>
      <c r="H191" s="353"/>
      <c r="I191" s="295"/>
      <c r="J191" s="356"/>
      <c r="K191" s="353"/>
      <c r="L191" s="353"/>
      <c r="M191" s="354"/>
      <c r="N191" s="351"/>
    </row>
    <row r="192" spans="1:14" s="137" customFormat="1" ht="57" customHeight="1">
      <c r="A192" s="448" t="s">
        <v>304</v>
      </c>
      <c r="B192" s="286" t="s">
        <v>95</v>
      </c>
      <c r="C192" s="352">
        <v>1</v>
      </c>
      <c r="D192" s="352"/>
      <c r="E192" s="352"/>
      <c r="F192" s="352">
        <v>4250</v>
      </c>
      <c r="G192" s="352"/>
      <c r="H192" s="353">
        <v>4250</v>
      </c>
      <c r="I192" s="295">
        <v>3743.846</v>
      </c>
      <c r="J192" s="295">
        <f>H192-I192</f>
        <v>506.154</v>
      </c>
      <c r="K192" s="294">
        <f>I192/H192*100</f>
        <v>88.090494117647054</v>
      </c>
      <c r="L192" s="353"/>
      <c r="M192" s="354"/>
      <c r="N192" s="351" t="s">
        <v>462</v>
      </c>
    </row>
    <row r="193" spans="1:14" s="137" customFormat="1">
      <c r="A193" s="391" t="s">
        <v>305</v>
      </c>
      <c r="B193" s="286"/>
      <c r="C193" s="352"/>
      <c r="D193" s="352"/>
      <c r="E193" s="352"/>
      <c r="F193" s="352"/>
      <c r="G193" s="352"/>
      <c r="H193" s="353"/>
      <c r="I193" s="295"/>
      <c r="J193" s="356"/>
      <c r="K193" s="353"/>
      <c r="L193" s="353"/>
      <c r="M193" s="354"/>
      <c r="N193" s="351"/>
    </row>
    <row r="194" spans="1:14" s="137" customFormat="1" ht="49.5" customHeight="1">
      <c r="A194" s="450" t="s">
        <v>306</v>
      </c>
      <c r="B194" s="286" t="s">
        <v>95</v>
      </c>
      <c r="C194" s="352">
        <v>1</v>
      </c>
      <c r="D194" s="352"/>
      <c r="E194" s="352"/>
      <c r="F194" s="352">
        <v>3000</v>
      </c>
      <c r="G194" s="352"/>
      <c r="H194" s="353">
        <v>3000</v>
      </c>
      <c r="I194" s="295">
        <v>2907.9580000000001</v>
      </c>
      <c r="J194" s="295">
        <f>H194-I194</f>
        <v>92.041999999999916</v>
      </c>
      <c r="K194" s="294">
        <f>I194/H194*100</f>
        <v>96.931933333333333</v>
      </c>
      <c r="L194" s="353"/>
      <c r="M194" s="354"/>
      <c r="N194" s="351" t="s">
        <v>446</v>
      </c>
    </row>
    <row r="195" spans="1:14" s="137" customFormat="1">
      <c r="A195" s="359" t="s">
        <v>282</v>
      </c>
      <c r="B195" s="286"/>
      <c r="C195" s="352"/>
      <c r="D195" s="352"/>
      <c r="E195" s="352"/>
      <c r="F195" s="352"/>
      <c r="G195" s="352"/>
      <c r="H195" s="353"/>
      <c r="I195" s="295"/>
      <c r="J195" s="356"/>
      <c r="K195" s="353"/>
      <c r="L195" s="353"/>
      <c r="M195" s="354"/>
      <c r="N195" s="351"/>
    </row>
    <row r="196" spans="1:14" s="137" customFormat="1" ht="48" customHeight="1">
      <c r="A196" s="449" t="s">
        <v>307</v>
      </c>
      <c r="B196" s="286" t="s">
        <v>95</v>
      </c>
      <c r="C196" s="352">
        <v>1</v>
      </c>
      <c r="D196" s="352">
        <v>1</v>
      </c>
      <c r="E196" s="352">
        <f>D18/C18*100</f>
        <v>100</v>
      </c>
      <c r="F196" s="352">
        <v>2000</v>
      </c>
      <c r="G196" s="352"/>
      <c r="H196" s="356">
        <v>2000</v>
      </c>
      <c r="I196" s="295">
        <v>1641.521</v>
      </c>
      <c r="J196" s="295">
        <f>H196-I196</f>
        <v>358.47900000000004</v>
      </c>
      <c r="K196" s="295">
        <f>I196/H196*100</f>
        <v>82.076049999999995</v>
      </c>
      <c r="L196" s="356">
        <v>1477.37</v>
      </c>
      <c r="M196" s="354">
        <f>SUM(L196/I196)*100</f>
        <v>90.000067011022082</v>
      </c>
      <c r="N196" s="351" t="s">
        <v>78</v>
      </c>
    </row>
    <row r="197" spans="1:14" s="137" customFormat="1" ht="27" customHeight="1">
      <c r="A197" s="418" t="s">
        <v>308</v>
      </c>
      <c r="B197" s="286"/>
      <c r="C197" s="352"/>
      <c r="D197" s="352"/>
      <c r="E197" s="352"/>
      <c r="F197" s="352"/>
      <c r="G197" s="352"/>
      <c r="H197" s="356"/>
      <c r="I197" s="295"/>
      <c r="J197" s="356"/>
      <c r="K197" s="356"/>
      <c r="L197" s="356"/>
      <c r="M197" s="356"/>
      <c r="N197" s="351"/>
    </row>
    <row r="198" spans="1:14" s="137" customFormat="1" ht="53.25" customHeight="1">
      <c r="A198" s="448" t="s">
        <v>309</v>
      </c>
      <c r="B198" s="286" t="s">
        <v>95</v>
      </c>
      <c r="C198" s="352">
        <v>1</v>
      </c>
      <c r="D198" s="352">
        <v>1</v>
      </c>
      <c r="E198" s="352">
        <v>100</v>
      </c>
      <c r="F198" s="352">
        <v>3000</v>
      </c>
      <c r="G198" s="352"/>
      <c r="H198" s="356">
        <v>3000</v>
      </c>
      <c r="I198" s="295">
        <v>2443.6909999999998</v>
      </c>
      <c r="J198" s="295">
        <f t="shared" ref="J198:J204" si="4">H198-I198</f>
        <v>556.3090000000002</v>
      </c>
      <c r="K198" s="295">
        <f>I198/H198*100</f>
        <v>81.456366666666653</v>
      </c>
      <c r="L198" s="356">
        <v>1411.65</v>
      </c>
      <c r="M198" s="356">
        <f>SUM(L198/I198)*100</f>
        <v>57.767123584774026</v>
      </c>
      <c r="N198" s="351" t="s">
        <v>463</v>
      </c>
    </row>
    <row r="199" spans="1:14" ht="33">
      <c r="A199" s="136" t="s">
        <v>310</v>
      </c>
      <c r="B199" s="302"/>
      <c r="C199" s="430">
        <f t="shared" ref="C199:D199" si="5">C200</f>
        <v>20</v>
      </c>
      <c r="D199" s="430">
        <f t="shared" si="5"/>
        <v>8</v>
      </c>
      <c r="E199" s="303">
        <f>D199/C199*100</f>
        <v>40</v>
      </c>
      <c r="F199" s="303" t="e">
        <f>+#REF!</f>
        <v>#REF!</v>
      </c>
      <c r="G199" s="303" t="e">
        <f>#REF!+G200</f>
        <v>#REF!</v>
      </c>
      <c r="H199" s="304">
        <f>H200</f>
        <v>20000</v>
      </c>
      <c r="I199" s="305">
        <f>I200</f>
        <v>19297.286999999997</v>
      </c>
      <c r="J199" s="305">
        <f t="shared" si="4"/>
        <v>702.71300000000338</v>
      </c>
      <c r="K199" s="304">
        <f>I199/H199*100</f>
        <v>96.486434999999986</v>
      </c>
      <c r="L199" s="304"/>
      <c r="M199" s="306"/>
      <c r="N199" s="363"/>
    </row>
    <row r="200" spans="1:14" ht="40.5" customHeight="1">
      <c r="A200" s="287" t="s">
        <v>311</v>
      </c>
      <c r="B200" s="279"/>
      <c r="C200" s="429">
        <f>C201+C204+C217</f>
        <v>20</v>
      </c>
      <c r="D200" s="429">
        <f>D201+D204+D217</f>
        <v>8</v>
      </c>
      <c r="E200" s="288">
        <f>D200/C200*100</f>
        <v>40</v>
      </c>
      <c r="F200" s="288" t="e">
        <f>+F201+#REF!+F204+F217</f>
        <v>#REF!</v>
      </c>
      <c r="G200" s="288" t="e">
        <f>+G201+#REF!+G204+G217</f>
        <v>#REF!</v>
      </c>
      <c r="H200" s="289">
        <f>H201+H204+H217</f>
        <v>20000</v>
      </c>
      <c r="I200" s="290">
        <f>I201+I204+I217</f>
        <v>19297.286999999997</v>
      </c>
      <c r="J200" s="290">
        <f t="shared" si="4"/>
        <v>702.71300000000338</v>
      </c>
      <c r="K200" s="289"/>
      <c r="L200" s="289"/>
      <c r="M200" s="291"/>
      <c r="N200" s="364"/>
    </row>
    <row r="201" spans="1:14" ht="16.5" customHeight="1">
      <c r="A201" s="279" t="s">
        <v>175</v>
      </c>
      <c r="B201" s="279"/>
      <c r="C201" s="288">
        <f>SUM(C202:C203)</f>
        <v>2</v>
      </c>
      <c r="D201" s="288">
        <f>SUM(D202:D203)</f>
        <v>0</v>
      </c>
      <c r="E201" s="288">
        <f>D201/C201*100</f>
        <v>0</v>
      </c>
      <c r="F201" s="288">
        <f>SUM(F202:F203)</f>
        <v>0</v>
      </c>
      <c r="G201" s="288">
        <f>SUM(G202:G203)</f>
        <v>3136</v>
      </c>
      <c r="H201" s="289">
        <f>SUM(H202:H203)</f>
        <v>3136</v>
      </c>
      <c r="I201" s="290">
        <f>SUM(I202:I203)</f>
        <v>3136</v>
      </c>
      <c r="J201" s="290">
        <f t="shared" si="4"/>
        <v>0</v>
      </c>
      <c r="K201" s="289">
        <f>I201/H201*100</f>
        <v>100</v>
      </c>
      <c r="L201" s="289"/>
      <c r="M201" s="291"/>
      <c r="N201" s="297"/>
    </row>
    <row r="202" spans="1:14" ht="42.75" customHeight="1">
      <c r="A202" s="446" t="s">
        <v>312</v>
      </c>
      <c r="B202" s="280" t="s">
        <v>95</v>
      </c>
      <c r="C202" s="293">
        <v>1</v>
      </c>
      <c r="D202" s="293"/>
      <c r="E202" s="293"/>
      <c r="F202" s="293"/>
      <c r="G202" s="293">
        <v>990</v>
      </c>
      <c r="H202" s="294">
        <v>990</v>
      </c>
      <c r="I202" s="295">
        <v>334.20600000000002</v>
      </c>
      <c r="J202" s="295">
        <f t="shared" si="4"/>
        <v>655.79399999999998</v>
      </c>
      <c r="K202" s="294">
        <f>I202/H202*100</f>
        <v>33.758181818181818</v>
      </c>
      <c r="L202" s="294"/>
      <c r="M202" s="296"/>
      <c r="N202" s="297" t="s">
        <v>394</v>
      </c>
    </row>
    <row r="203" spans="1:14" ht="60.75" customHeight="1">
      <c r="A203" s="446" t="s">
        <v>313</v>
      </c>
      <c r="B203" s="280" t="s">
        <v>95</v>
      </c>
      <c r="C203" s="293">
        <v>1</v>
      </c>
      <c r="D203" s="293"/>
      <c r="E203" s="293"/>
      <c r="F203" s="293"/>
      <c r="G203" s="293">
        <v>2146</v>
      </c>
      <c r="H203" s="294">
        <v>2146</v>
      </c>
      <c r="I203" s="295">
        <v>2801.7939999999999</v>
      </c>
      <c r="J203" s="295">
        <f t="shared" si="4"/>
        <v>-655.79399999999987</v>
      </c>
      <c r="K203" s="294">
        <f>I203/H203*100</f>
        <v>130.55890027958992</v>
      </c>
      <c r="L203" s="294"/>
      <c r="M203" s="296"/>
      <c r="N203" s="297" t="s">
        <v>464</v>
      </c>
    </row>
    <row r="204" spans="1:14" ht="30" customHeight="1">
      <c r="A204" s="279" t="s">
        <v>193</v>
      </c>
      <c r="B204" s="279"/>
      <c r="C204" s="288">
        <f>SUM(C205:C215)</f>
        <v>10</v>
      </c>
      <c r="D204" s="288">
        <f>SUM(D205:D215)</f>
        <v>3</v>
      </c>
      <c r="E204" s="288">
        <f>D204/C204*100</f>
        <v>30</v>
      </c>
      <c r="F204" s="288">
        <f>SUM(F205:F215)</f>
        <v>0</v>
      </c>
      <c r="G204" s="288">
        <f>SUM(G205:G215)</f>
        <v>11417.69</v>
      </c>
      <c r="H204" s="289">
        <f>SUM(H205:H216)</f>
        <v>11417.68</v>
      </c>
      <c r="I204" s="290">
        <f>SUM(I205:I216)</f>
        <v>10766.386999999999</v>
      </c>
      <c r="J204" s="290">
        <f t="shared" si="4"/>
        <v>651.29300000000148</v>
      </c>
      <c r="K204" s="289">
        <f>I204/H204*100</f>
        <v>94.295750099845151</v>
      </c>
      <c r="L204" s="289"/>
      <c r="M204" s="291"/>
      <c r="N204" s="297"/>
    </row>
    <row r="205" spans="1:14" ht="54" customHeight="1">
      <c r="A205" s="446" t="s">
        <v>314</v>
      </c>
      <c r="B205" s="280" t="s">
        <v>95</v>
      </c>
      <c r="C205" s="293">
        <v>1</v>
      </c>
      <c r="D205" s="293"/>
      <c r="E205" s="293"/>
      <c r="F205" s="293"/>
      <c r="G205" s="293">
        <v>675</v>
      </c>
      <c r="H205" s="294">
        <v>675</v>
      </c>
      <c r="I205" s="295">
        <v>477.28399999999999</v>
      </c>
      <c r="J205" s="295">
        <f t="shared" ref="J205:J214" si="6">H205-I205</f>
        <v>197.71600000000001</v>
      </c>
      <c r="K205" s="294" t="s">
        <v>374</v>
      </c>
      <c r="L205" s="294"/>
      <c r="M205" s="296"/>
      <c r="N205" s="297" t="s">
        <v>447</v>
      </c>
    </row>
    <row r="206" spans="1:14" ht="34.5" customHeight="1">
      <c r="A206" s="446" t="s">
        <v>315</v>
      </c>
      <c r="B206" s="280" t="s">
        <v>95</v>
      </c>
      <c r="C206" s="293"/>
      <c r="D206" s="293"/>
      <c r="E206" s="293"/>
      <c r="F206" s="293"/>
      <c r="G206" s="293">
        <v>2150</v>
      </c>
      <c r="H206" s="294"/>
      <c r="I206" s="295"/>
      <c r="J206" s="295"/>
      <c r="K206" s="294"/>
      <c r="L206" s="294"/>
      <c r="M206" s="296"/>
      <c r="N206" s="297"/>
    </row>
    <row r="207" spans="1:14" ht="57" customHeight="1">
      <c r="A207" s="447" t="s">
        <v>405</v>
      </c>
      <c r="B207" s="280" t="s">
        <v>95</v>
      </c>
      <c r="C207" s="293">
        <v>1</v>
      </c>
      <c r="D207" s="293"/>
      <c r="E207" s="293"/>
      <c r="F207" s="293"/>
      <c r="G207" s="293"/>
      <c r="H207" s="416">
        <v>750</v>
      </c>
      <c r="I207" s="295">
        <v>731.69299999999998</v>
      </c>
      <c r="J207" s="416">
        <f t="shared" si="6"/>
        <v>18.307000000000016</v>
      </c>
      <c r="K207" s="416">
        <f t="shared" ref="K207:K217" si="7">I207/H207*100</f>
        <v>97.559066666666666</v>
      </c>
      <c r="L207" s="295"/>
      <c r="M207" s="296"/>
      <c r="N207" s="297" t="s">
        <v>448</v>
      </c>
    </row>
    <row r="208" spans="1:14" ht="38.25" customHeight="1">
      <c r="A208" s="447" t="s">
        <v>408</v>
      </c>
      <c r="B208" s="280" t="s">
        <v>95</v>
      </c>
      <c r="C208" s="293">
        <v>1</v>
      </c>
      <c r="D208" s="352">
        <v>1</v>
      </c>
      <c r="E208" s="352">
        <f>D18/C18*100</f>
        <v>100</v>
      </c>
      <c r="F208" s="293"/>
      <c r="G208" s="293"/>
      <c r="H208" s="295">
        <v>750</v>
      </c>
      <c r="I208" s="295">
        <v>743.91399999999999</v>
      </c>
      <c r="J208" s="295">
        <f t="shared" si="6"/>
        <v>6.0860000000000127</v>
      </c>
      <c r="K208" s="295">
        <f t="shared" si="7"/>
        <v>99.188533333333325</v>
      </c>
      <c r="L208" s="295"/>
      <c r="M208" s="296"/>
      <c r="N208" s="297" t="s">
        <v>444</v>
      </c>
    </row>
    <row r="209" spans="1:14" ht="57.75" customHeight="1">
      <c r="A209" s="447" t="s">
        <v>409</v>
      </c>
      <c r="B209" s="280" t="s">
        <v>95</v>
      </c>
      <c r="C209" s="293">
        <v>1</v>
      </c>
      <c r="D209" s="293">
        <v>1</v>
      </c>
      <c r="E209" s="293">
        <f>C209/D209*100</f>
        <v>100</v>
      </c>
      <c r="F209" s="293"/>
      <c r="G209" s="293"/>
      <c r="H209" s="295">
        <v>650</v>
      </c>
      <c r="I209" s="295">
        <v>638</v>
      </c>
      <c r="J209" s="295">
        <f t="shared" si="6"/>
        <v>12</v>
      </c>
      <c r="K209" s="295">
        <f t="shared" si="7"/>
        <v>98.15384615384616</v>
      </c>
      <c r="L209" s="295"/>
      <c r="M209" s="296"/>
      <c r="N209" s="297" t="s">
        <v>465</v>
      </c>
    </row>
    <row r="210" spans="1:14" ht="33" customHeight="1">
      <c r="A210" s="280" t="s">
        <v>406</v>
      </c>
      <c r="B210" s="280"/>
      <c r="C210" s="293"/>
      <c r="D210" s="293"/>
      <c r="E210" s="293"/>
      <c r="F210" s="293"/>
      <c r="G210" s="293"/>
      <c r="H210" s="416"/>
      <c r="I210" s="295"/>
      <c r="J210" s="416"/>
      <c r="K210" s="416"/>
      <c r="L210" s="295"/>
      <c r="M210" s="296"/>
      <c r="N210" s="297"/>
    </row>
    <row r="211" spans="1:14" ht="55.5" customHeight="1">
      <c r="A211" s="447" t="s">
        <v>410</v>
      </c>
      <c r="B211" s="280" t="s">
        <v>401</v>
      </c>
      <c r="C211" s="293">
        <v>1</v>
      </c>
      <c r="D211" s="293">
        <v>1</v>
      </c>
      <c r="E211" s="293">
        <f>C211/D211*100</f>
        <v>100</v>
      </c>
      <c r="F211" s="293"/>
      <c r="G211" s="293">
        <v>6263.59</v>
      </c>
      <c r="H211" s="501">
        <v>6263.58</v>
      </c>
      <c r="I211" s="295">
        <v>2164.2860000000001</v>
      </c>
      <c r="J211" s="501">
        <f>SUM(H211-5345.437)</f>
        <v>918.14300000000003</v>
      </c>
      <c r="K211" s="501">
        <f>SUM(5345.437/H211)*100</f>
        <v>85.341561854402741</v>
      </c>
      <c r="L211" s="294"/>
      <c r="M211" s="296"/>
      <c r="N211" s="297" t="s">
        <v>426</v>
      </c>
    </row>
    <row r="212" spans="1:14" ht="39" customHeight="1">
      <c r="A212" s="447" t="s">
        <v>411</v>
      </c>
      <c r="B212" s="280" t="s">
        <v>401</v>
      </c>
      <c r="C212" s="293">
        <v>1</v>
      </c>
      <c r="D212" s="293"/>
      <c r="E212" s="293"/>
      <c r="F212" s="293"/>
      <c r="G212" s="293"/>
      <c r="H212" s="502"/>
      <c r="I212" s="295">
        <v>3181.1509999999998</v>
      </c>
      <c r="J212" s="502"/>
      <c r="K212" s="502"/>
      <c r="L212" s="295"/>
      <c r="M212" s="296"/>
      <c r="N212" s="297" t="s">
        <v>417</v>
      </c>
    </row>
    <row r="213" spans="1:14" ht="56.25" customHeight="1">
      <c r="A213" s="446" t="s">
        <v>316</v>
      </c>
      <c r="B213" s="280" t="s">
        <v>95</v>
      </c>
      <c r="C213" s="293">
        <v>1</v>
      </c>
      <c r="D213" s="293"/>
      <c r="E213" s="293"/>
      <c r="F213" s="293"/>
      <c r="G213" s="293">
        <v>650</v>
      </c>
      <c r="H213" s="294">
        <v>650</v>
      </c>
      <c r="I213" s="295">
        <v>585.625</v>
      </c>
      <c r="J213" s="295">
        <f t="shared" si="6"/>
        <v>64.375</v>
      </c>
      <c r="K213" s="294">
        <f t="shared" si="7"/>
        <v>90.096153846153854</v>
      </c>
      <c r="L213" s="294"/>
      <c r="M213" s="296"/>
      <c r="N213" s="297" t="s">
        <v>449</v>
      </c>
    </row>
    <row r="214" spans="1:14" ht="57.75" customHeight="1">
      <c r="A214" s="446" t="s">
        <v>317</v>
      </c>
      <c r="B214" s="280" t="s">
        <v>95</v>
      </c>
      <c r="C214" s="293">
        <v>1</v>
      </c>
      <c r="D214" s="293"/>
      <c r="E214" s="293"/>
      <c r="F214" s="293"/>
      <c r="G214" s="293">
        <v>758</v>
      </c>
      <c r="H214" s="294">
        <v>758</v>
      </c>
      <c r="I214" s="295">
        <v>1274.1510000000001</v>
      </c>
      <c r="J214" s="295">
        <f t="shared" si="6"/>
        <v>-516.15100000000007</v>
      </c>
      <c r="K214" s="294">
        <f t="shared" si="7"/>
        <v>168.09379947229553</v>
      </c>
      <c r="L214" s="294"/>
      <c r="M214" s="296"/>
      <c r="N214" s="297" t="s">
        <v>466</v>
      </c>
    </row>
    <row r="215" spans="1:14" ht="34.5" customHeight="1">
      <c r="A215" s="446" t="s">
        <v>318</v>
      </c>
      <c r="B215" s="280" t="s">
        <v>319</v>
      </c>
      <c r="C215" s="293">
        <v>2</v>
      </c>
      <c r="D215" s="293"/>
      <c r="E215" s="293"/>
      <c r="F215" s="293"/>
      <c r="G215" s="293">
        <v>921.1</v>
      </c>
      <c r="H215" s="501">
        <v>921.1</v>
      </c>
      <c r="I215" s="295">
        <v>770.28300000000002</v>
      </c>
      <c r="J215" s="501">
        <f>SUM(921.1-970.3)</f>
        <v>-49.199999999999932</v>
      </c>
      <c r="K215" s="501">
        <v>105.34</v>
      </c>
      <c r="L215" s="294"/>
      <c r="M215" s="296"/>
      <c r="N215" s="297" t="s">
        <v>417</v>
      </c>
    </row>
    <row r="216" spans="1:14" ht="34.5" customHeight="1">
      <c r="A216" s="413" t="s">
        <v>402</v>
      </c>
      <c r="B216" s="280" t="s">
        <v>95</v>
      </c>
      <c r="C216" s="293">
        <v>1</v>
      </c>
      <c r="D216" s="293"/>
      <c r="E216" s="293"/>
      <c r="F216" s="293"/>
      <c r="G216" s="293"/>
      <c r="H216" s="502"/>
      <c r="I216" s="295">
        <v>200</v>
      </c>
      <c r="J216" s="502"/>
      <c r="K216" s="502"/>
      <c r="L216" s="295"/>
      <c r="M216" s="296"/>
      <c r="N216" s="297" t="s">
        <v>368</v>
      </c>
    </row>
    <row r="217" spans="1:14">
      <c r="A217" s="279" t="s">
        <v>123</v>
      </c>
      <c r="B217" s="279"/>
      <c r="C217" s="288">
        <f>SUM(C218:C224)</f>
        <v>8</v>
      </c>
      <c r="D217" s="288">
        <f>SUM(D218:D224)</f>
        <v>5</v>
      </c>
      <c r="E217" s="288">
        <f>D217/C217*100</f>
        <v>62.5</v>
      </c>
      <c r="F217" s="288">
        <f>SUM(F218:F224)</f>
        <v>0</v>
      </c>
      <c r="G217" s="288">
        <f>SUM(G218:G224)</f>
        <v>5446.3200000000006</v>
      </c>
      <c r="H217" s="289">
        <f>H218+H219+H220+H221+H222+H223+H224+H225</f>
        <v>5446.3200000000006</v>
      </c>
      <c r="I217" s="290">
        <f>I218+I219+I220+I221+I222+I223+I224+I225</f>
        <v>5394.9</v>
      </c>
      <c r="J217" s="290">
        <f>J218+J219+J220+J221+J222+J223+J224+J225</f>
        <v>337.62600000000009</v>
      </c>
      <c r="K217" s="289">
        <f t="shared" si="7"/>
        <v>99.055876261402176</v>
      </c>
      <c r="L217" s="290">
        <f>L218+L219+L220+L221+L222+L223+L224+L225</f>
        <v>2480.4079999999999</v>
      </c>
      <c r="M217" s="291">
        <f>L217/I217*100</f>
        <v>45.976904113143895</v>
      </c>
      <c r="N217" s="297"/>
    </row>
    <row r="218" spans="1:14" ht="64.5" customHeight="1">
      <c r="A218" s="446" t="s">
        <v>320</v>
      </c>
      <c r="B218" s="280" t="s">
        <v>95</v>
      </c>
      <c r="C218" s="293">
        <v>1</v>
      </c>
      <c r="D218" s="293"/>
      <c r="E218" s="293"/>
      <c r="F218" s="293"/>
      <c r="G218" s="293">
        <v>95</v>
      </c>
      <c r="H218" s="294">
        <v>95</v>
      </c>
      <c r="I218" s="295"/>
      <c r="J218" s="295">
        <f t="shared" ref="J218:J224" si="8">H218-I218</f>
        <v>95</v>
      </c>
      <c r="K218" s="294">
        <f t="shared" ref="K218:K224" si="9">I218/H218*100</f>
        <v>0</v>
      </c>
      <c r="L218" s="294"/>
      <c r="M218" s="296"/>
      <c r="N218" s="297" t="s">
        <v>371</v>
      </c>
    </row>
    <row r="219" spans="1:14" ht="25.5" customHeight="1">
      <c r="A219" s="446" t="s">
        <v>321</v>
      </c>
      <c r="B219" s="280" t="s">
        <v>95</v>
      </c>
      <c r="C219" s="293">
        <v>1</v>
      </c>
      <c r="D219" s="293"/>
      <c r="E219" s="293"/>
      <c r="F219" s="293"/>
      <c r="G219" s="293">
        <v>800</v>
      </c>
      <c r="H219" s="294">
        <v>800</v>
      </c>
      <c r="I219" s="295">
        <v>779.94899999999996</v>
      </c>
      <c r="J219" s="295">
        <f t="shared" si="8"/>
        <v>20.051000000000045</v>
      </c>
      <c r="K219" s="294">
        <f t="shared" si="9"/>
        <v>97.493624999999994</v>
      </c>
      <c r="L219" s="294"/>
      <c r="M219" s="296"/>
      <c r="N219" s="297" t="s">
        <v>412</v>
      </c>
    </row>
    <row r="220" spans="1:14" ht="51" customHeight="1">
      <c r="A220" s="446" t="s">
        <v>322</v>
      </c>
      <c r="B220" s="280" t="s">
        <v>95</v>
      </c>
      <c r="C220" s="293">
        <v>2</v>
      </c>
      <c r="D220" s="352">
        <v>1</v>
      </c>
      <c r="E220" s="352">
        <f>D18/C18*100</f>
        <v>100</v>
      </c>
      <c r="F220" s="293"/>
      <c r="G220" s="293">
        <v>1580</v>
      </c>
      <c r="H220" s="294">
        <v>1580</v>
      </c>
      <c r="I220" s="295">
        <v>1621</v>
      </c>
      <c r="J220" s="295">
        <f t="shared" si="8"/>
        <v>-41</v>
      </c>
      <c r="K220" s="294">
        <f t="shared" si="9"/>
        <v>102.59493670886076</v>
      </c>
      <c r="L220" s="294">
        <v>942.02</v>
      </c>
      <c r="M220" s="296">
        <f>SUM(L220/I220)*100</f>
        <v>58.113510178901905</v>
      </c>
      <c r="N220" s="392" t="s">
        <v>467</v>
      </c>
    </row>
    <row r="221" spans="1:14" ht="30.75" customHeight="1">
      <c r="A221" s="446" t="s">
        <v>323</v>
      </c>
      <c r="B221" s="280" t="s">
        <v>95</v>
      </c>
      <c r="C221" s="293">
        <v>1</v>
      </c>
      <c r="D221" s="293">
        <v>1</v>
      </c>
      <c r="E221" s="293">
        <f>C221/D221*100</f>
        <v>100</v>
      </c>
      <c r="F221" s="293"/>
      <c r="G221" s="293">
        <v>290</v>
      </c>
      <c r="H221" s="294">
        <v>290</v>
      </c>
      <c r="I221" s="295">
        <v>215.13399999999999</v>
      </c>
      <c r="J221" s="295">
        <f t="shared" si="8"/>
        <v>74.866000000000014</v>
      </c>
      <c r="K221" s="294">
        <f>I221/H221*100</f>
        <v>74.184137931034471</v>
      </c>
      <c r="L221" s="294">
        <v>197.29</v>
      </c>
      <c r="M221" s="296">
        <f>SUM(L221/I221)*100</f>
        <v>91.7056346277204</v>
      </c>
      <c r="N221" s="297" t="s">
        <v>78</v>
      </c>
    </row>
    <row r="222" spans="1:14" ht="30" customHeight="1">
      <c r="A222" s="446" t="s">
        <v>324</v>
      </c>
      <c r="B222" s="280" t="s">
        <v>95</v>
      </c>
      <c r="C222" s="293">
        <v>1</v>
      </c>
      <c r="D222" s="293">
        <v>1</v>
      </c>
      <c r="E222" s="293">
        <f t="shared" ref="E222:E223" si="10">C222/D222*100</f>
        <v>100</v>
      </c>
      <c r="F222" s="293"/>
      <c r="G222" s="293">
        <v>620</v>
      </c>
      <c r="H222" s="294">
        <v>620</v>
      </c>
      <c r="I222" s="295">
        <v>607.5</v>
      </c>
      <c r="J222" s="295">
        <f t="shared" si="8"/>
        <v>12.5</v>
      </c>
      <c r="K222" s="294">
        <f t="shared" si="9"/>
        <v>97.983870967741936</v>
      </c>
      <c r="L222" s="294">
        <v>607.49800000000005</v>
      </c>
      <c r="M222" s="296">
        <f>SUM(L222/I222)*100</f>
        <v>99.999670781893016</v>
      </c>
      <c r="N222" s="297" t="s">
        <v>78</v>
      </c>
    </row>
    <row r="223" spans="1:14" ht="27.75" customHeight="1">
      <c r="A223" s="446" t="s">
        <v>325</v>
      </c>
      <c r="B223" s="280" t="s">
        <v>95</v>
      </c>
      <c r="C223" s="293">
        <v>1</v>
      </c>
      <c r="D223" s="293">
        <v>1</v>
      </c>
      <c r="E223" s="293">
        <f t="shared" si="10"/>
        <v>100</v>
      </c>
      <c r="F223" s="293"/>
      <c r="G223" s="293">
        <v>793.52</v>
      </c>
      <c r="H223" s="294">
        <v>793.52</v>
      </c>
      <c r="I223" s="295">
        <v>733.59799999999996</v>
      </c>
      <c r="J223" s="295">
        <f t="shared" si="8"/>
        <v>59.922000000000025</v>
      </c>
      <c r="K223" s="294">
        <f>I223/H223*100</f>
        <v>92.448583526565173</v>
      </c>
      <c r="L223" s="294">
        <v>733.6</v>
      </c>
      <c r="M223" s="296">
        <f>SUM(L223/I223)*100</f>
        <v>100.00027262887849</v>
      </c>
      <c r="N223" s="297" t="s">
        <v>78</v>
      </c>
    </row>
    <row r="224" spans="1:14" ht="45" customHeight="1">
      <c r="A224" s="446" t="s">
        <v>326</v>
      </c>
      <c r="B224" s="280" t="s">
        <v>95</v>
      </c>
      <c r="C224" s="293">
        <v>1</v>
      </c>
      <c r="D224" s="293">
        <v>1</v>
      </c>
      <c r="E224" s="293">
        <v>100</v>
      </c>
      <c r="F224" s="293"/>
      <c r="G224" s="293">
        <v>1267.8</v>
      </c>
      <c r="H224" s="294">
        <v>1267.8</v>
      </c>
      <c r="I224" s="295">
        <v>1151.5129999999999</v>
      </c>
      <c r="J224" s="295">
        <f t="shared" si="8"/>
        <v>116.28700000000003</v>
      </c>
      <c r="K224" s="294">
        <f t="shared" si="9"/>
        <v>90.82765420413314</v>
      </c>
      <c r="L224" s="294"/>
      <c r="M224" s="296"/>
      <c r="N224" s="297" t="s">
        <v>450</v>
      </c>
    </row>
    <row r="225" spans="1:14" ht="52.5" customHeight="1">
      <c r="A225" s="413" t="s">
        <v>404</v>
      </c>
      <c r="B225" s="280" t="s">
        <v>95</v>
      </c>
      <c r="C225" s="293"/>
      <c r="D225" s="293"/>
      <c r="E225" s="293"/>
      <c r="F225" s="293"/>
      <c r="G225" s="293"/>
      <c r="H225" s="295"/>
      <c r="I225" s="295">
        <v>286.20600000000002</v>
      </c>
      <c r="J225" s="295"/>
      <c r="K225" s="295">
        <v>100</v>
      </c>
      <c r="L225" s="295"/>
      <c r="M225" s="296"/>
      <c r="N225" s="297" t="s">
        <v>416</v>
      </c>
    </row>
    <row r="226" spans="1:14" s="415" customFormat="1" ht="15.75">
      <c r="A226" s="139" t="s">
        <v>28</v>
      </c>
      <c r="B226" s="140"/>
      <c r="C226" s="432"/>
      <c r="D226" s="432"/>
      <c r="E226" s="212"/>
      <c r="F226" s="213" t="e">
        <f>F11+F23</f>
        <v>#REF!</v>
      </c>
      <c r="G226" s="213" t="e">
        <f>G11+G23</f>
        <v>#REF!</v>
      </c>
      <c r="H226" s="214">
        <f>H23+H11</f>
        <v>200000</v>
      </c>
      <c r="I226" s="214">
        <f>I23+I11</f>
        <v>136994.34599999999</v>
      </c>
      <c r="J226" s="214">
        <f>H226-I226</f>
        <v>63005.65400000001</v>
      </c>
      <c r="K226" s="214">
        <f>I226/H226*100</f>
        <v>68.497173000000004</v>
      </c>
      <c r="L226" s="214">
        <f>L23+L11</f>
        <v>77343.240000000005</v>
      </c>
      <c r="M226" s="202">
        <f>SUM(L226/I226*100)</f>
        <v>56.457249702845417</v>
      </c>
      <c r="N226" s="141"/>
    </row>
    <row r="228" spans="1:14" s="182" customFormat="1" ht="18.75">
      <c r="A228" s="182" t="s">
        <v>354</v>
      </c>
      <c r="B228" s="182" t="s">
        <v>355</v>
      </c>
      <c r="E228" s="182" t="s">
        <v>356</v>
      </c>
      <c r="H228" s="183"/>
      <c r="M228" s="182" t="s">
        <v>357</v>
      </c>
    </row>
    <row r="229" spans="1:14" s="188" customFormat="1" ht="18" customHeight="1">
      <c r="H229" s="190"/>
    </row>
    <row r="230" spans="1:14" s="188" customFormat="1" ht="17.25" customHeight="1"/>
    <row r="231" spans="1:14" s="183" customFormat="1" ht="18.75">
      <c r="A231" s="183" t="s">
        <v>415</v>
      </c>
      <c r="B231" s="183" t="s">
        <v>359</v>
      </c>
      <c r="E231" s="183" t="s">
        <v>424</v>
      </c>
      <c r="J231" s="183" t="s">
        <v>388</v>
      </c>
      <c r="M231" s="183" t="s">
        <v>372</v>
      </c>
    </row>
    <row r="232" spans="1:14" s="184" customFormat="1" ht="18.75">
      <c r="A232" s="184" t="s">
        <v>362</v>
      </c>
      <c r="B232" s="184" t="s">
        <v>363</v>
      </c>
      <c r="E232" s="184" t="s">
        <v>391</v>
      </c>
      <c r="J232" s="184" t="s">
        <v>392</v>
      </c>
      <c r="M232" s="184" t="s">
        <v>373</v>
      </c>
    </row>
    <row r="233" spans="1:14" ht="21">
      <c r="A233" s="145"/>
      <c r="B233" s="146"/>
      <c r="C233" s="147"/>
      <c r="D233" s="147"/>
      <c r="E233" s="147"/>
      <c r="F233" s="147"/>
      <c r="G233" s="147"/>
      <c r="H233" s="147"/>
      <c r="I233" s="203"/>
      <c r="J233" s="147"/>
      <c r="K233" s="147"/>
      <c r="L233" s="147"/>
      <c r="M233" s="147"/>
      <c r="N233" s="144"/>
    </row>
    <row r="234" spans="1:14" ht="21">
      <c r="A234" s="148"/>
      <c r="B234" s="146"/>
      <c r="C234" s="147"/>
      <c r="D234" s="147"/>
      <c r="E234" s="147"/>
      <c r="F234" s="149"/>
      <c r="G234" s="147"/>
      <c r="H234" s="147"/>
      <c r="I234" s="203"/>
      <c r="J234" s="147"/>
      <c r="K234" s="147"/>
      <c r="L234" s="147"/>
      <c r="M234" s="147"/>
      <c r="N234" s="144"/>
    </row>
    <row r="235" spans="1:14" ht="21">
      <c r="A235" s="142"/>
      <c r="B235" s="143"/>
      <c r="C235" s="149"/>
      <c r="D235" s="149"/>
      <c r="E235" s="149"/>
      <c r="F235" s="149"/>
      <c r="G235" s="149"/>
      <c r="H235" s="149"/>
      <c r="I235" s="204"/>
      <c r="J235" s="149"/>
      <c r="K235" s="149"/>
      <c r="L235" s="149"/>
      <c r="M235" s="149"/>
      <c r="N235" s="144"/>
    </row>
    <row r="236" spans="1:14" ht="15">
      <c r="A236" s="121"/>
      <c r="B236" s="150"/>
      <c r="C236" s="138"/>
      <c r="D236" s="138"/>
      <c r="E236" s="138"/>
      <c r="F236" s="121"/>
      <c r="G236" s="121"/>
      <c r="H236" s="121"/>
      <c r="I236" s="205"/>
      <c r="J236" s="121"/>
      <c r="K236" s="121"/>
      <c r="L236" s="121"/>
      <c r="M236" s="121"/>
      <c r="N236" s="121"/>
    </row>
    <row r="237" spans="1:14" ht="15">
      <c r="A237" s="151"/>
      <c r="B237" s="152"/>
      <c r="C237" s="153"/>
      <c r="D237" s="153"/>
      <c r="E237" s="153"/>
      <c r="F237" s="154"/>
      <c r="G237" s="155"/>
      <c r="H237" s="155"/>
      <c r="I237" s="206"/>
      <c r="J237" s="155"/>
      <c r="K237" s="155"/>
      <c r="L237" s="155"/>
      <c r="M237" s="155"/>
      <c r="N237" s="155"/>
    </row>
    <row r="238" spans="1:14">
      <c r="A238" s="156"/>
      <c r="F238" s="157"/>
      <c r="G238" s="157"/>
      <c r="H238" s="157"/>
      <c r="I238" s="207"/>
      <c r="J238" s="157"/>
      <c r="K238" s="157"/>
      <c r="L238" s="157"/>
      <c r="M238" s="157"/>
      <c r="N238" s="157"/>
    </row>
  </sheetData>
  <sheetProtection algorithmName="SHA-512" hashValue="sZcEibejvjN72pFTJf/QKjS/hn9uAEex8LQsKZHCZ5hmxEoLBQGGEmKIYJGg9x/bS/PqZ8OnEY3dMf9xt8XXhA==" saltValue="w13Uj+4ODIuBfd+5Wo2KVQ==" spinCount="100000" sheet="1" objects="1" scenarios="1"/>
  <mergeCells count="17">
    <mergeCell ref="A7:A9"/>
    <mergeCell ref="B7:B9"/>
    <mergeCell ref="I8:K8"/>
    <mergeCell ref="L8:M8"/>
    <mergeCell ref="N7:N9"/>
    <mergeCell ref="C7:E7"/>
    <mergeCell ref="D8:E8"/>
    <mergeCell ref="H7:M7"/>
    <mergeCell ref="H8:H9"/>
    <mergeCell ref="C8:C9"/>
    <mergeCell ref="H16:H17"/>
    <mergeCell ref="H211:H212"/>
    <mergeCell ref="J211:J212"/>
    <mergeCell ref="K211:K212"/>
    <mergeCell ref="H215:H216"/>
    <mergeCell ref="J215:J216"/>
    <mergeCell ref="K215:K216"/>
  </mergeCells>
  <printOptions horizontalCentered="1"/>
  <pageMargins left="0.19685039370078741" right="0.19685039370078741" top="0.19685039370078741" bottom="0.19685039370078741" header="0.19685039370078741" footer="0.19685039370078741"/>
  <pageSetup paperSize="14" scale="65" orientation="landscape" r:id="rId1"/>
  <rowBreaks count="4" manualBreakCount="4">
    <brk id="134" max="13" man="1"/>
    <brk id="158" max="13" man="1"/>
    <brk id="186" max="13" man="1"/>
    <brk id="208" max="13" man="1"/>
  </rowBreaks>
  <colBreaks count="1" manualBreakCount="1">
    <brk id="14" max="2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view="pageBreakPreview" zoomScale="70" zoomScaleNormal="70" zoomScaleSheetLayoutView="70" workbookViewId="0">
      <pane ySplit="12" topLeftCell="A22" activePane="bottomLeft" state="frozen"/>
      <selection pane="bottomLeft" activeCell="K36" sqref="K36"/>
    </sheetView>
  </sheetViews>
  <sheetFormatPr defaultRowHeight="15"/>
  <cols>
    <col min="1" max="1" width="47.140625" customWidth="1"/>
    <col min="2" max="2" width="13.42578125" customWidth="1"/>
    <col min="3" max="3" width="19.28515625" style="121" customWidth="1"/>
    <col min="4" max="4" width="13.85546875" style="121" customWidth="1"/>
    <col min="5" max="5" width="13.28515625" customWidth="1"/>
    <col min="6" max="6" width="22.28515625" style="121" bestFit="1" customWidth="1"/>
    <col min="7" max="7" width="21.5703125" style="121" customWidth="1"/>
    <col min="8" max="8" width="22" style="121" customWidth="1"/>
    <col min="9" max="9" width="10.140625" style="121" customWidth="1"/>
    <col min="10" max="10" width="22.85546875" style="121" customWidth="1"/>
    <col min="11" max="11" width="16.5703125" style="121" customWidth="1"/>
    <col min="12" max="12" width="32.5703125" customWidth="1"/>
  </cols>
  <sheetData>
    <row r="1" spans="1:17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7">
      <c r="A2" s="120" t="s">
        <v>136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7" ht="15" customHeight="1">
      <c r="A3" s="119" t="s">
        <v>124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7" s="121" customFormat="1" ht="15" customHeight="1">
      <c r="A4" s="119" t="s">
        <v>375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7" ht="15" customHeight="1">
      <c r="A5" s="162" t="s">
        <v>451</v>
      </c>
      <c r="B5" s="121"/>
      <c r="E5" s="121"/>
      <c r="L5" s="121"/>
    </row>
    <row r="6" spans="1:17" ht="8.25" customHeight="1">
      <c r="A6" s="120"/>
      <c r="B6" s="121"/>
      <c r="E6" s="121"/>
      <c r="L6" s="121"/>
    </row>
    <row r="7" spans="1:17" ht="24" customHeight="1">
      <c r="A7" s="518" t="s">
        <v>137</v>
      </c>
      <c r="B7" s="518" t="s">
        <v>138</v>
      </c>
      <c r="C7" s="520" t="s">
        <v>2</v>
      </c>
      <c r="D7" s="520"/>
      <c r="E7" s="520"/>
      <c r="F7" s="515" t="s">
        <v>112</v>
      </c>
      <c r="G7" s="515"/>
      <c r="H7" s="515"/>
      <c r="I7" s="515"/>
      <c r="J7" s="515"/>
      <c r="K7" s="515"/>
      <c r="L7" s="518" t="s">
        <v>111</v>
      </c>
    </row>
    <row r="8" spans="1:17" s="121" customFormat="1" ht="24" customHeight="1">
      <c r="A8" s="518"/>
      <c r="B8" s="518"/>
      <c r="C8" s="516" t="s">
        <v>4</v>
      </c>
      <c r="D8" s="520" t="s">
        <v>110</v>
      </c>
      <c r="E8" s="520"/>
      <c r="F8" s="516" t="s">
        <v>109</v>
      </c>
      <c r="G8" s="516" t="s">
        <v>108</v>
      </c>
      <c r="H8" s="516"/>
      <c r="I8" s="516"/>
      <c r="J8" s="516" t="s">
        <v>3</v>
      </c>
      <c r="K8" s="516"/>
      <c r="L8" s="518"/>
    </row>
    <row r="9" spans="1:17" s="121" customFormat="1" ht="24" customHeight="1">
      <c r="A9" s="518"/>
      <c r="B9" s="518"/>
      <c r="C9" s="516"/>
      <c r="D9" s="521" t="s">
        <v>107</v>
      </c>
      <c r="E9" s="517" t="s">
        <v>6</v>
      </c>
      <c r="F9" s="516"/>
      <c r="G9" s="516" t="s">
        <v>106</v>
      </c>
      <c r="H9" s="516" t="s">
        <v>105</v>
      </c>
      <c r="I9" s="517" t="s">
        <v>6</v>
      </c>
      <c r="J9" s="515" t="s">
        <v>104</v>
      </c>
      <c r="K9" s="519" t="s">
        <v>6</v>
      </c>
      <c r="L9" s="518"/>
    </row>
    <row r="10" spans="1:17" ht="21" customHeight="1">
      <c r="A10" s="518"/>
      <c r="B10" s="518"/>
      <c r="C10" s="516"/>
      <c r="D10" s="521"/>
      <c r="E10" s="517"/>
      <c r="F10" s="516"/>
      <c r="G10" s="515"/>
      <c r="H10" s="515"/>
      <c r="I10" s="517"/>
      <c r="J10" s="515"/>
      <c r="K10" s="517"/>
      <c r="L10" s="518"/>
    </row>
    <row r="11" spans="1:17" s="199" customFormat="1" ht="34.5" customHeight="1">
      <c r="A11" s="497" t="s">
        <v>125</v>
      </c>
      <c r="B11" s="498"/>
      <c r="C11" s="498"/>
      <c r="D11" s="498"/>
      <c r="E11" s="499">
        <f>SUM(E12+E15)</f>
        <v>0</v>
      </c>
      <c r="F11" s="419">
        <f>F12+F15</f>
        <v>192655000</v>
      </c>
      <c r="G11" s="419">
        <f>G12+G15</f>
        <v>192655000</v>
      </c>
      <c r="H11" s="500">
        <f t="shared" ref="H11:H20" si="0">SUM(H12)</f>
        <v>0</v>
      </c>
      <c r="I11" s="500">
        <f t="shared" ref="I11:I20" si="1">G11/F11*100</f>
        <v>100</v>
      </c>
      <c r="J11" s="419">
        <f>J12+J15</f>
        <v>190957000</v>
      </c>
      <c r="K11" s="419">
        <f>J11/G11*100</f>
        <v>99.118631751057592</v>
      </c>
      <c r="L11" s="419"/>
    </row>
    <row r="12" spans="1:17" s="121" customFormat="1" ht="15" customHeight="1">
      <c r="A12" s="217" t="s">
        <v>139</v>
      </c>
      <c r="B12" s="218"/>
      <c r="C12" s="219">
        <f>C13</f>
        <v>0</v>
      </c>
      <c r="D12" s="218"/>
      <c r="E12" s="218"/>
      <c r="F12" s="220">
        <f>F13</f>
        <v>77955000</v>
      </c>
      <c r="G12" s="220">
        <f>G13</f>
        <v>77955000</v>
      </c>
      <c r="H12" s="221">
        <f t="shared" si="0"/>
        <v>0</v>
      </c>
      <c r="I12" s="221">
        <f t="shared" si="1"/>
        <v>100</v>
      </c>
      <c r="J12" s="220">
        <f>J13</f>
        <v>76338000</v>
      </c>
      <c r="K12" s="222">
        <f>J12/G12*100</f>
        <v>97.925726380604189</v>
      </c>
      <c r="L12" s="223"/>
    </row>
    <row r="13" spans="1:17" s="137" customFormat="1" ht="15" customHeight="1">
      <c r="A13" s="224" t="s">
        <v>126</v>
      </c>
      <c r="B13" s="225"/>
      <c r="C13" s="226"/>
      <c r="D13" s="225"/>
      <c r="E13" s="226"/>
      <c r="F13" s="227">
        <f>F14</f>
        <v>77955000</v>
      </c>
      <c r="G13" s="227">
        <f>G14</f>
        <v>77955000</v>
      </c>
      <c r="H13" s="227">
        <f>H14</f>
        <v>0</v>
      </c>
      <c r="I13" s="226">
        <v>0</v>
      </c>
      <c r="J13" s="227">
        <f>J14</f>
        <v>76338000</v>
      </c>
      <c r="K13" s="228">
        <f>J13/G13*100</f>
        <v>97.925726380604189</v>
      </c>
      <c r="L13" s="522" t="s">
        <v>369</v>
      </c>
      <c r="M13" s="527"/>
      <c r="N13" s="528"/>
      <c r="O13" s="528"/>
      <c r="P13" s="528"/>
    </row>
    <row r="14" spans="1:17" s="137" customFormat="1" ht="111.75" customHeight="1">
      <c r="A14" s="224" t="s">
        <v>127</v>
      </c>
      <c r="B14" s="225" t="s">
        <v>370</v>
      </c>
      <c r="C14" s="226">
        <v>15591</v>
      </c>
      <c r="D14" s="227">
        <v>17434</v>
      </c>
      <c r="E14" s="226">
        <f>D14/C14*100</f>
        <v>111.82092232698351</v>
      </c>
      <c r="F14" s="227">
        <v>77955000</v>
      </c>
      <c r="G14" s="226">
        <v>77955000</v>
      </c>
      <c r="H14" s="226"/>
      <c r="I14" s="226">
        <v>0</v>
      </c>
      <c r="J14" s="226">
        <v>76338000</v>
      </c>
      <c r="K14" s="228">
        <f>J14/G14*100</f>
        <v>97.925726380604189</v>
      </c>
      <c r="L14" s="523"/>
      <c r="M14" s="172"/>
      <c r="N14" s="173"/>
      <c r="O14" s="173"/>
      <c r="P14" s="173"/>
      <c r="Q14" s="173"/>
    </row>
    <row r="15" spans="1:17" s="137" customFormat="1" ht="26.25" customHeight="1">
      <c r="A15" s="229" t="s">
        <v>132</v>
      </c>
      <c r="B15" s="225"/>
      <c r="C15" s="230">
        <f>C16</f>
        <v>0</v>
      </c>
      <c r="D15" s="225"/>
      <c r="E15" s="230"/>
      <c r="F15" s="231">
        <f>F16</f>
        <v>114700000</v>
      </c>
      <c r="G15" s="231">
        <f>G16</f>
        <v>114700000</v>
      </c>
      <c r="H15" s="221">
        <f t="shared" si="0"/>
        <v>0</v>
      </c>
      <c r="I15" s="221">
        <f t="shared" si="1"/>
        <v>100</v>
      </c>
      <c r="J15" s="231">
        <f>J16</f>
        <v>114619000</v>
      </c>
      <c r="K15" s="232">
        <f t="shared" ref="K15:K20" si="2">J15/G15*100</f>
        <v>99.929380993897126</v>
      </c>
      <c r="L15" s="233"/>
    </row>
    <row r="16" spans="1:17" s="137" customFormat="1" ht="15" customHeight="1">
      <c r="A16" s="234" t="s">
        <v>133</v>
      </c>
      <c r="B16" s="225"/>
      <c r="C16" s="231"/>
      <c r="D16" s="225"/>
      <c r="E16" s="230"/>
      <c r="F16" s="231">
        <f>F18+F20</f>
        <v>114700000</v>
      </c>
      <c r="G16" s="231">
        <f>G18+G20</f>
        <v>114700000</v>
      </c>
      <c r="H16" s="221">
        <f t="shared" si="0"/>
        <v>0</v>
      </c>
      <c r="I16" s="221">
        <f t="shared" si="1"/>
        <v>100</v>
      </c>
      <c r="J16" s="231">
        <f>J18+J20</f>
        <v>114619000</v>
      </c>
      <c r="K16" s="232">
        <f t="shared" si="2"/>
        <v>99.929380993897126</v>
      </c>
      <c r="L16" s="233"/>
    </row>
    <row r="17" spans="1:13" s="137" customFormat="1" ht="15" customHeight="1">
      <c r="A17" s="235" t="s">
        <v>134</v>
      </c>
      <c r="B17" s="225"/>
      <c r="C17" s="230"/>
      <c r="D17" s="225"/>
      <c r="E17" s="230"/>
      <c r="F17" s="230"/>
      <c r="G17" s="230"/>
      <c r="H17" s="221"/>
      <c r="I17" s="236"/>
      <c r="J17" s="230"/>
      <c r="K17" s="237"/>
      <c r="L17" s="522" t="s">
        <v>78</v>
      </c>
    </row>
    <row r="18" spans="1:13" s="137" customFormat="1" ht="15" customHeight="1">
      <c r="A18" s="238" t="s">
        <v>127</v>
      </c>
      <c r="B18" s="225" t="s">
        <v>95</v>
      </c>
      <c r="C18" s="230">
        <v>20</v>
      </c>
      <c r="D18" s="230">
        <v>13</v>
      </c>
      <c r="E18" s="239">
        <f>D18/C18*100</f>
        <v>65</v>
      </c>
      <c r="F18" s="230">
        <v>75700000</v>
      </c>
      <c r="G18" s="230">
        <v>75700000</v>
      </c>
      <c r="H18" s="221">
        <f t="shared" si="0"/>
        <v>0</v>
      </c>
      <c r="I18" s="236">
        <f>G18/F18*100</f>
        <v>100</v>
      </c>
      <c r="J18" s="230">
        <v>75685000</v>
      </c>
      <c r="K18" s="237">
        <f t="shared" si="2"/>
        <v>99.980184940554821</v>
      </c>
      <c r="L18" s="523"/>
    </row>
    <row r="19" spans="1:13" s="137" customFormat="1" ht="15" customHeight="1">
      <c r="A19" s="235" t="s">
        <v>135</v>
      </c>
      <c r="B19" s="240"/>
      <c r="C19" s="231"/>
      <c r="D19" s="240"/>
      <c r="E19" s="231"/>
      <c r="F19" s="231"/>
      <c r="G19" s="231"/>
      <c r="H19" s="221"/>
      <c r="I19" s="236"/>
      <c r="J19" s="231"/>
      <c r="K19" s="232"/>
      <c r="L19" s="522" t="s">
        <v>78</v>
      </c>
    </row>
    <row r="20" spans="1:13" s="137" customFormat="1" ht="14.25" customHeight="1">
      <c r="A20" s="238" t="s">
        <v>127</v>
      </c>
      <c r="B20" s="225" t="s">
        <v>95</v>
      </c>
      <c r="C20" s="230">
        <v>26</v>
      </c>
      <c r="D20" s="230">
        <v>23</v>
      </c>
      <c r="E20" s="239">
        <f>D20/C20*100</f>
        <v>88.461538461538453</v>
      </c>
      <c r="F20" s="230">
        <v>39000000</v>
      </c>
      <c r="G20" s="230">
        <v>39000000</v>
      </c>
      <c r="H20" s="221">
        <f t="shared" si="0"/>
        <v>0</v>
      </c>
      <c r="I20" s="236">
        <f t="shared" si="1"/>
        <v>100</v>
      </c>
      <c r="J20" s="230">
        <v>38934000</v>
      </c>
      <c r="K20" s="237">
        <f t="shared" si="2"/>
        <v>99.830769230769235</v>
      </c>
      <c r="L20" s="524"/>
    </row>
    <row r="21" spans="1:13" s="121" customFormat="1" ht="15" customHeight="1">
      <c r="A21" s="238" t="s">
        <v>143</v>
      </c>
      <c r="B21" s="225"/>
      <c r="C21" s="230"/>
      <c r="D21" s="225"/>
      <c r="E21" s="230"/>
      <c r="F21" s="230"/>
      <c r="G21" s="230"/>
      <c r="H21" s="230"/>
      <c r="I21" s="230"/>
      <c r="J21" s="230"/>
      <c r="K21" s="230"/>
      <c r="L21" s="523"/>
    </row>
    <row r="22" spans="1:13" s="121" customFormat="1" ht="15" customHeight="1">
      <c r="A22" s="238"/>
      <c r="B22" s="225"/>
      <c r="C22" s="230"/>
      <c r="D22" s="225"/>
      <c r="E22" s="230"/>
      <c r="F22" s="230"/>
      <c r="G22" s="230"/>
      <c r="H22" s="230"/>
      <c r="I22" s="230"/>
      <c r="J22" s="230"/>
      <c r="K22" s="230"/>
      <c r="L22" s="241"/>
    </row>
    <row r="23" spans="1:13" s="421" customFormat="1" ht="28.5" customHeight="1">
      <c r="A23" s="420" t="s">
        <v>122</v>
      </c>
      <c r="B23" s="242"/>
      <c r="C23" s="243">
        <f>C25</f>
        <v>0</v>
      </c>
      <c r="D23" s="242"/>
      <c r="E23" s="244"/>
      <c r="F23" s="244">
        <f>F25</f>
        <v>10230000</v>
      </c>
      <c r="G23" s="244">
        <f>G25</f>
        <v>10230000</v>
      </c>
      <c r="H23" s="243">
        <f>SUM(H24)</f>
        <v>0</v>
      </c>
      <c r="I23" s="243">
        <f>G23/F23*100</f>
        <v>100</v>
      </c>
      <c r="J23" s="244">
        <f>J25</f>
        <v>10230000</v>
      </c>
      <c r="K23" s="244">
        <f>K25</f>
        <v>100</v>
      </c>
      <c r="L23" s="244"/>
    </row>
    <row r="24" spans="1:13" s="163" customFormat="1" ht="15" customHeight="1">
      <c r="A24" s="245" t="s">
        <v>128</v>
      </c>
      <c r="B24" s="246"/>
      <c r="C24" s="221"/>
      <c r="D24" s="246"/>
      <c r="E24" s="236"/>
      <c r="F24" s="247"/>
      <c r="G24" s="236"/>
      <c r="H24" s="236"/>
      <c r="I24" s="236"/>
      <c r="J24" s="236"/>
      <c r="K24" s="236"/>
      <c r="L24" s="248"/>
    </row>
    <row r="25" spans="1:13" s="163" customFormat="1" ht="21" customHeight="1">
      <c r="A25" s="249" t="s">
        <v>140</v>
      </c>
      <c r="B25" s="250"/>
      <c r="C25" s="221"/>
      <c r="D25" s="250"/>
      <c r="E25" s="221"/>
      <c r="F25" s="251">
        <f>F26</f>
        <v>10230000</v>
      </c>
      <c r="G25" s="221">
        <f>SUM(G26)</f>
        <v>10230000</v>
      </c>
      <c r="H25" s="221">
        <f>SUM(H26)</f>
        <v>0</v>
      </c>
      <c r="I25" s="221">
        <f>SUM(I26)</f>
        <v>100</v>
      </c>
      <c r="J25" s="221">
        <f>SUM(J26)</f>
        <v>10230000</v>
      </c>
      <c r="K25" s="221">
        <f>SUM(K26)</f>
        <v>100</v>
      </c>
      <c r="L25" s="525" t="s">
        <v>350</v>
      </c>
    </row>
    <row r="26" spans="1:13" s="165" customFormat="1" ht="54.75" customHeight="1">
      <c r="A26" s="215" t="s">
        <v>127</v>
      </c>
      <c r="B26" s="246" t="s">
        <v>141</v>
      </c>
      <c r="C26" s="236">
        <v>55297</v>
      </c>
      <c r="D26" s="252">
        <v>55297</v>
      </c>
      <c r="E26" s="239">
        <f>D26/C26*100</f>
        <v>100</v>
      </c>
      <c r="F26" s="247">
        <v>10230000</v>
      </c>
      <c r="G26" s="236">
        <v>10230000</v>
      </c>
      <c r="H26" s="236">
        <v>0</v>
      </c>
      <c r="I26" s="236">
        <f>G26/F26*100</f>
        <v>100</v>
      </c>
      <c r="J26" s="236">
        <v>10230000</v>
      </c>
      <c r="K26" s="236">
        <f>J26/F26*100</f>
        <v>100</v>
      </c>
      <c r="L26" s="526"/>
      <c r="M26" s="164"/>
    </row>
    <row r="27" spans="1:13" s="423" customFormat="1" ht="32.25" customHeight="1">
      <c r="A27" s="422" t="s">
        <v>129</v>
      </c>
      <c r="B27" s="253"/>
      <c r="C27" s="254"/>
      <c r="D27" s="253"/>
      <c r="E27" s="254"/>
      <c r="F27" s="255">
        <f>F28</f>
        <v>77520000</v>
      </c>
      <c r="G27" s="255">
        <f t="shared" ref="G27:L27" si="3">G28</f>
        <v>77520000</v>
      </c>
      <c r="H27" s="255">
        <f t="shared" si="3"/>
        <v>0</v>
      </c>
      <c r="I27" s="255">
        <f t="shared" si="3"/>
        <v>100</v>
      </c>
      <c r="J27" s="255">
        <f t="shared" si="3"/>
        <v>70065000</v>
      </c>
      <c r="K27" s="255">
        <f>J27/F27*100</f>
        <v>90.383126934984531</v>
      </c>
      <c r="L27" s="255">
        <f t="shared" si="3"/>
        <v>0</v>
      </c>
    </row>
    <row r="28" spans="1:13" s="137" customFormat="1" ht="15" customHeight="1">
      <c r="A28" s="256" t="s">
        <v>130</v>
      </c>
      <c r="B28" s="240"/>
      <c r="C28" s="257"/>
      <c r="D28" s="240"/>
      <c r="E28" s="239"/>
      <c r="F28" s="231">
        <f>F30+F32+F34+F36+F38</f>
        <v>77520000</v>
      </c>
      <c r="G28" s="231">
        <f>G30+G32+G34+G36+G38</f>
        <v>77520000</v>
      </c>
      <c r="H28" s="231">
        <f>H30+H32+H34+H36+H38</f>
        <v>0</v>
      </c>
      <c r="I28" s="236">
        <f>G28/F28*100</f>
        <v>100</v>
      </c>
      <c r="J28" s="231">
        <f>J30+J32+J34+J36+J38</f>
        <v>70065000</v>
      </c>
      <c r="K28" s="221">
        <f>J28/F28*100</f>
        <v>90.383126934984531</v>
      </c>
      <c r="L28" s="233"/>
    </row>
    <row r="29" spans="1:13" s="137" customFormat="1" ht="15" customHeight="1">
      <c r="A29" s="235" t="s">
        <v>142</v>
      </c>
      <c r="B29" s="240"/>
      <c r="C29" s="239"/>
      <c r="D29" s="240"/>
      <c r="E29" s="239"/>
      <c r="F29" s="230"/>
      <c r="G29" s="239"/>
      <c r="H29" s="239"/>
      <c r="I29" s="239"/>
      <c r="J29" s="239"/>
      <c r="K29" s="236"/>
      <c r="L29" s="241"/>
    </row>
    <row r="30" spans="1:13" s="137" customFormat="1" ht="15" customHeight="1">
      <c r="A30" s="238" t="s">
        <v>127</v>
      </c>
      <c r="B30" s="225" t="s">
        <v>120</v>
      </c>
      <c r="C30" s="230">
        <v>6300</v>
      </c>
      <c r="D30" s="434">
        <v>6300</v>
      </c>
      <c r="E30" s="239">
        <f>D30/C30*100</f>
        <v>100</v>
      </c>
      <c r="F30" s="230">
        <v>40500000</v>
      </c>
      <c r="G30" s="230">
        <v>40500000</v>
      </c>
      <c r="H30" s="230"/>
      <c r="I30" s="236">
        <f t="shared" ref="I30:I39" si="4">G30/F30*100</f>
        <v>100</v>
      </c>
      <c r="J30" s="230">
        <v>40473000</v>
      </c>
      <c r="K30" s="236">
        <f t="shared" ref="K30:K38" si="5">J30/F30*100</f>
        <v>99.933333333333323</v>
      </c>
      <c r="L30" s="230" t="s">
        <v>78</v>
      </c>
    </row>
    <row r="31" spans="1:13" s="137" customFormat="1" ht="15" customHeight="1">
      <c r="A31" s="235" t="s">
        <v>146</v>
      </c>
      <c r="B31" s="258"/>
      <c r="C31" s="230"/>
      <c r="D31" s="435"/>
      <c r="E31" s="230"/>
      <c r="F31" s="230"/>
      <c r="G31" s="230"/>
      <c r="H31" s="230"/>
      <c r="I31" s="236"/>
      <c r="J31" s="230"/>
      <c r="K31" s="236"/>
      <c r="L31" s="259"/>
    </row>
    <row r="32" spans="1:13" s="137" customFormat="1" ht="15" customHeight="1">
      <c r="A32" s="238" t="s">
        <v>127</v>
      </c>
      <c r="B32" s="225" t="s">
        <v>120</v>
      </c>
      <c r="C32" s="230">
        <v>4200</v>
      </c>
      <c r="D32" s="434">
        <v>4200</v>
      </c>
      <c r="E32" s="239">
        <f>D32/C32*100</f>
        <v>100</v>
      </c>
      <c r="F32" s="230">
        <v>25200000</v>
      </c>
      <c r="G32" s="230">
        <v>25200000</v>
      </c>
      <c r="H32" s="230"/>
      <c r="I32" s="236">
        <f t="shared" si="4"/>
        <v>100</v>
      </c>
      <c r="J32" s="230">
        <v>25182000</v>
      </c>
      <c r="K32" s="236">
        <f t="shared" si="5"/>
        <v>99.928571428571431</v>
      </c>
      <c r="L32" s="230" t="s">
        <v>78</v>
      </c>
    </row>
    <row r="33" spans="1:12" s="174" customFormat="1" ht="15" customHeight="1">
      <c r="A33" s="267" t="s">
        <v>147</v>
      </c>
      <c r="B33" s="268"/>
      <c r="C33" s="220"/>
      <c r="D33" s="436"/>
      <c r="E33" s="220"/>
      <c r="F33" s="269"/>
      <c r="G33" s="220" t="s">
        <v>100</v>
      </c>
      <c r="H33" s="220"/>
      <c r="I33" s="236"/>
      <c r="J33" s="220"/>
      <c r="K33" s="236"/>
      <c r="L33" s="270"/>
    </row>
    <row r="34" spans="1:12" s="175" customFormat="1" ht="42.75" customHeight="1">
      <c r="A34" s="260" t="s">
        <v>127</v>
      </c>
      <c r="B34" s="261" t="s">
        <v>120</v>
      </c>
      <c r="C34" s="262">
        <v>18250</v>
      </c>
      <c r="D34" s="433">
        <v>16336</v>
      </c>
      <c r="E34" s="239">
        <f>D34/C34*100</f>
        <v>89.512328767123279</v>
      </c>
      <c r="F34" s="262">
        <v>7300000</v>
      </c>
      <c r="G34" s="262">
        <v>7300000</v>
      </c>
      <c r="H34" s="262"/>
      <c r="I34" s="236">
        <f t="shared" si="4"/>
        <v>100</v>
      </c>
      <c r="J34" s="262">
        <v>0</v>
      </c>
      <c r="K34" s="236">
        <f t="shared" si="5"/>
        <v>0</v>
      </c>
      <c r="L34" s="263" t="s">
        <v>469</v>
      </c>
    </row>
    <row r="35" spans="1:12" s="137" customFormat="1" ht="15" customHeight="1">
      <c r="A35" s="235" t="s">
        <v>131</v>
      </c>
      <c r="B35" s="258"/>
      <c r="C35" s="230"/>
      <c r="D35" s="435"/>
      <c r="E35" s="230"/>
      <c r="F35" s="240"/>
      <c r="G35" s="230"/>
      <c r="H35" s="230"/>
      <c r="I35" s="236"/>
      <c r="J35" s="230"/>
      <c r="K35" s="236"/>
      <c r="L35" s="259"/>
    </row>
    <row r="36" spans="1:12" s="137" customFormat="1" ht="15" customHeight="1">
      <c r="A36" s="238" t="s">
        <v>127</v>
      </c>
      <c r="B36" s="225" t="s">
        <v>120</v>
      </c>
      <c r="C36" s="230">
        <v>11000</v>
      </c>
      <c r="D36" s="434">
        <v>11000</v>
      </c>
      <c r="E36" s="239">
        <f>D36/C36*100</f>
        <v>100</v>
      </c>
      <c r="F36" s="230">
        <v>4400000</v>
      </c>
      <c r="G36" s="230">
        <v>4400000</v>
      </c>
      <c r="H36" s="230"/>
      <c r="I36" s="236">
        <f t="shared" si="4"/>
        <v>100</v>
      </c>
      <c r="J36" s="230">
        <v>4290000</v>
      </c>
      <c r="K36" s="236">
        <f t="shared" si="5"/>
        <v>97.5</v>
      </c>
      <c r="L36" s="230" t="s">
        <v>78</v>
      </c>
    </row>
    <row r="37" spans="1:12" s="137" customFormat="1" ht="15" customHeight="1">
      <c r="A37" s="235" t="s">
        <v>144</v>
      </c>
      <c r="B37" s="225"/>
      <c r="C37" s="230"/>
      <c r="D37" s="434"/>
      <c r="E37" s="230"/>
      <c r="F37" s="230"/>
      <c r="G37" s="230"/>
      <c r="H37" s="230"/>
      <c r="I37" s="236"/>
      <c r="J37" s="230"/>
      <c r="K37" s="236"/>
      <c r="L37" s="230"/>
    </row>
    <row r="38" spans="1:12" s="137" customFormat="1">
      <c r="A38" s="238" t="s">
        <v>127</v>
      </c>
      <c r="B38" s="264" t="s">
        <v>121</v>
      </c>
      <c r="C38" s="230">
        <v>3000</v>
      </c>
      <c r="D38" s="265">
        <v>3000</v>
      </c>
      <c r="E38" s="239">
        <f>D38/C38*100</f>
        <v>100</v>
      </c>
      <c r="F38" s="230">
        <v>120000</v>
      </c>
      <c r="G38" s="230">
        <v>120000</v>
      </c>
      <c r="H38" s="240"/>
      <c r="I38" s="236">
        <f t="shared" si="4"/>
        <v>100</v>
      </c>
      <c r="J38" s="230">
        <v>120000</v>
      </c>
      <c r="K38" s="236">
        <f t="shared" si="5"/>
        <v>100</v>
      </c>
      <c r="L38" s="230" t="s">
        <v>78</v>
      </c>
    </row>
    <row r="39" spans="1:12" s="199" customFormat="1" ht="25.5" customHeight="1">
      <c r="A39" s="271" t="s">
        <v>145</v>
      </c>
      <c r="B39" s="272"/>
      <c r="C39" s="272"/>
      <c r="D39" s="272"/>
      <c r="E39" s="272"/>
      <c r="F39" s="266">
        <f>F27+F23+F11</f>
        <v>280405000</v>
      </c>
      <c r="G39" s="266">
        <f>G27+G23+G11</f>
        <v>280405000</v>
      </c>
      <c r="H39" s="266">
        <f>H27+H23+H11</f>
        <v>0</v>
      </c>
      <c r="I39" s="273">
        <f t="shared" si="4"/>
        <v>100</v>
      </c>
      <c r="J39" s="266">
        <f>J27+J23+J11</f>
        <v>271252000</v>
      </c>
      <c r="K39" s="273">
        <f>J39/G39*100</f>
        <v>96.735792871025836</v>
      </c>
      <c r="L39" s="266"/>
    </row>
    <row r="40" spans="1:12" ht="3.75" customHeight="1"/>
    <row r="41" spans="1:12" s="185" customFormat="1" ht="17.25">
      <c r="A41" s="185" t="s">
        <v>354</v>
      </c>
      <c r="B41" s="185" t="s">
        <v>355</v>
      </c>
      <c r="E41" s="185" t="s">
        <v>356</v>
      </c>
      <c r="H41" s="186"/>
      <c r="K41" s="185" t="s">
        <v>357</v>
      </c>
    </row>
    <row r="42" spans="1:12" s="185" customFormat="1" ht="17.25">
      <c r="H42" s="187"/>
    </row>
    <row r="43" spans="1:12" s="185" customFormat="1" ht="17.25"/>
    <row r="44" spans="1:12" s="186" customFormat="1" ht="18.75">
      <c r="A44" s="183" t="s">
        <v>415</v>
      </c>
      <c r="B44" s="183" t="s">
        <v>359</v>
      </c>
      <c r="C44" s="183"/>
      <c r="D44" s="183"/>
      <c r="E44" s="183" t="s">
        <v>424</v>
      </c>
      <c r="F44" s="183"/>
      <c r="G44" s="183"/>
      <c r="H44" s="183" t="s">
        <v>388</v>
      </c>
      <c r="I44" s="183"/>
      <c r="J44" s="183"/>
      <c r="K44" s="183" t="s">
        <v>372</v>
      </c>
    </row>
    <row r="45" spans="1:12" s="187" customFormat="1" ht="18.75">
      <c r="A45" s="184" t="s">
        <v>362</v>
      </c>
      <c r="B45" s="184" t="s">
        <v>363</v>
      </c>
      <c r="C45" s="184"/>
      <c r="D45" s="184"/>
      <c r="E45" s="184" t="s">
        <v>391</v>
      </c>
      <c r="F45" s="184"/>
      <c r="G45" s="184"/>
      <c r="H45" s="184" t="s">
        <v>392</v>
      </c>
      <c r="I45" s="184"/>
      <c r="J45" s="184"/>
      <c r="K45" s="184" t="s">
        <v>373</v>
      </c>
    </row>
    <row r="49" spans="6:6">
      <c r="F49" s="121" t="s">
        <v>414</v>
      </c>
    </row>
  </sheetData>
  <sheetProtection algorithmName="SHA-512" hashValue="EY9jaWLceXzbYoMWrHqI5Fdvwa4s8GC0q82FLKYsC2gI5KQkqsThk/I2ihZG9BMQWhTClNeqEGSeDsFzd5S+kw==" saltValue="JLEYVA0fr0oGmr1CUQbogg==" spinCount="100000" sheet="1" objects="1" scenarios="1"/>
  <mergeCells count="22">
    <mergeCell ref="L17:L18"/>
    <mergeCell ref="L19:L21"/>
    <mergeCell ref="L25:L26"/>
    <mergeCell ref="L13:L14"/>
    <mergeCell ref="M13:P13"/>
    <mergeCell ref="A7:A10"/>
    <mergeCell ref="B7:B10"/>
    <mergeCell ref="C7:E7"/>
    <mergeCell ref="C8:C10"/>
    <mergeCell ref="D8:E8"/>
    <mergeCell ref="D9:D10"/>
    <mergeCell ref="E9:E10"/>
    <mergeCell ref="F7:K7"/>
    <mergeCell ref="G8:I8"/>
    <mergeCell ref="I9:I10"/>
    <mergeCell ref="L7:L10"/>
    <mergeCell ref="F8:F10"/>
    <mergeCell ref="J8:K8"/>
    <mergeCell ref="G9:G10"/>
    <mergeCell ref="H9:H10"/>
    <mergeCell ref="J9:J10"/>
    <mergeCell ref="K9:K10"/>
  </mergeCells>
  <printOptions horizontalCentered="1"/>
  <pageMargins left="0.19685039370078741" right="0.19685039370078741" top="0.19685039370078741" bottom="0.19685039370078741" header="0.19685039370078741" footer="0.19685039370078741"/>
  <pageSetup paperSize="14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topLeftCell="A17" zoomScale="66" zoomScaleNormal="50" zoomScaleSheetLayoutView="66" workbookViewId="0">
      <selection activeCell="A37" sqref="A37"/>
    </sheetView>
  </sheetViews>
  <sheetFormatPr defaultRowHeight="15"/>
  <cols>
    <col min="1" max="1" width="42.7109375" customWidth="1"/>
    <col min="2" max="2" width="23" customWidth="1"/>
    <col min="3" max="3" width="17.28515625" customWidth="1"/>
    <col min="4" max="4" width="15.7109375" customWidth="1"/>
    <col min="5" max="5" width="12.28515625" customWidth="1"/>
    <col min="6" max="6" width="21.140625" customWidth="1"/>
    <col min="7" max="7" width="19.85546875" customWidth="1"/>
    <col min="8" max="8" width="23.28515625" customWidth="1"/>
    <col min="9" max="9" width="14.85546875" customWidth="1"/>
    <col min="10" max="11" width="19.85546875" customWidth="1"/>
    <col min="12" max="12" width="33.7109375" customWidth="1"/>
  </cols>
  <sheetData>
    <row r="1" spans="1:12" ht="20.25">
      <c r="A1" s="110" t="s">
        <v>0</v>
      </c>
      <c r="B1" s="85"/>
      <c r="C1" s="84"/>
      <c r="D1" s="81"/>
      <c r="E1" s="83"/>
      <c r="F1" s="84"/>
      <c r="G1" s="84"/>
      <c r="H1" s="84"/>
      <c r="I1" s="83"/>
      <c r="J1" s="84"/>
      <c r="K1" s="83"/>
      <c r="L1" s="82"/>
    </row>
    <row r="2" spans="1:12" ht="25.5">
      <c r="A2" s="107" t="s">
        <v>115</v>
      </c>
      <c r="B2" s="109"/>
      <c r="C2" s="108"/>
      <c r="D2" s="107"/>
      <c r="E2" s="106"/>
      <c r="F2" s="108"/>
      <c r="G2" s="108"/>
      <c r="H2" s="108"/>
      <c r="I2" s="106"/>
      <c r="J2" s="107"/>
      <c r="K2" s="106"/>
      <c r="L2" s="100" t="s">
        <v>100</v>
      </c>
    </row>
    <row r="3" spans="1:12" ht="20.25">
      <c r="A3" s="94" t="s">
        <v>158</v>
      </c>
      <c r="B3" s="104"/>
      <c r="C3" s="103"/>
      <c r="D3" s="102"/>
      <c r="E3" s="101"/>
      <c r="F3" s="103"/>
      <c r="G3" s="103"/>
      <c r="H3" s="103"/>
      <c r="I3" s="101"/>
      <c r="J3" s="102"/>
      <c r="K3" s="101"/>
      <c r="L3" s="100"/>
    </row>
    <row r="4" spans="1:12" s="121" customFormat="1" ht="20.25">
      <c r="A4" s="105" t="s">
        <v>422</v>
      </c>
      <c r="B4" s="104"/>
      <c r="C4" s="103"/>
      <c r="D4" s="102"/>
      <c r="E4" s="101"/>
      <c r="F4" s="103"/>
      <c r="G4" s="103"/>
      <c r="H4" s="103"/>
      <c r="I4" s="101"/>
      <c r="J4" s="102"/>
      <c r="K4" s="101"/>
      <c r="L4" s="100"/>
    </row>
    <row r="5" spans="1:12" ht="18">
      <c r="A5" s="129" t="s">
        <v>430</v>
      </c>
      <c r="B5" s="104"/>
      <c r="C5" s="103"/>
      <c r="D5" s="102"/>
      <c r="E5" s="101"/>
      <c r="F5" s="103"/>
      <c r="G5" s="103"/>
      <c r="H5" s="103"/>
      <c r="I5" s="101"/>
      <c r="J5" s="102"/>
      <c r="K5" s="101"/>
      <c r="L5" s="100"/>
    </row>
    <row r="6" spans="1:12" ht="17.25" thickBot="1">
      <c r="A6" s="98"/>
      <c r="B6" s="99"/>
      <c r="C6" s="97"/>
      <c r="D6" s="96"/>
      <c r="E6" s="95"/>
      <c r="F6" s="543"/>
      <c r="G6" s="543"/>
      <c r="H6" s="543"/>
      <c r="I6" s="543"/>
      <c r="J6" s="543"/>
      <c r="K6" s="543"/>
      <c r="L6" s="82"/>
    </row>
    <row r="7" spans="1:12" ht="24" customHeight="1" thickBot="1">
      <c r="A7" s="544" t="s">
        <v>114</v>
      </c>
      <c r="B7" s="547" t="s">
        <v>113</v>
      </c>
      <c r="C7" s="550" t="s">
        <v>2</v>
      </c>
      <c r="D7" s="550"/>
      <c r="E7" s="550"/>
      <c r="F7" s="551" t="s">
        <v>112</v>
      </c>
      <c r="G7" s="552"/>
      <c r="H7" s="552"/>
      <c r="I7" s="552"/>
      <c r="J7" s="552"/>
      <c r="K7" s="553"/>
      <c r="L7" s="536" t="s">
        <v>111</v>
      </c>
    </row>
    <row r="8" spans="1:12" ht="21" customHeight="1" thickBot="1">
      <c r="A8" s="545"/>
      <c r="B8" s="548"/>
      <c r="C8" s="554" t="s">
        <v>4</v>
      </c>
      <c r="D8" s="556" t="s">
        <v>110</v>
      </c>
      <c r="E8" s="557"/>
      <c r="F8" s="558" t="s">
        <v>109</v>
      </c>
      <c r="G8" s="560" t="s">
        <v>108</v>
      </c>
      <c r="H8" s="560"/>
      <c r="I8" s="560"/>
      <c r="J8" s="561" t="s">
        <v>3</v>
      </c>
      <c r="K8" s="562"/>
      <c r="L8" s="537"/>
    </row>
    <row r="9" spans="1:12" ht="16.5" customHeight="1">
      <c r="A9" s="545"/>
      <c r="B9" s="548"/>
      <c r="C9" s="555"/>
      <c r="D9" s="565" t="s">
        <v>107</v>
      </c>
      <c r="E9" s="567" t="s">
        <v>6</v>
      </c>
      <c r="F9" s="559"/>
      <c r="G9" s="569" t="s">
        <v>106</v>
      </c>
      <c r="H9" s="530" t="s">
        <v>105</v>
      </c>
      <c r="I9" s="532" t="s">
        <v>6</v>
      </c>
      <c r="J9" s="534" t="s">
        <v>104</v>
      </c>
      <c r="K9" s="563" t="s">
        <v>6</v>
      </c>
      <c r="L9" s="537"/>
    </row>
    <row r="10" spans="1:12" ht="36.75" customHeight="1" thickBot="1">
      <c r="A10" s="546"/>
      <c r="B10" s="549"/>
      <c r="C10" s="555"/>
      <c r="D10" s="566"/>
      <c r="E10" s="568"/>
      <c r="F10" s="559"/>
      <c r="G10" s="570"/>
      <c r="H10" s="531"/>
      <c r="I10" s="533"/>
      <c r="J10" s="535"/>
      <c r="K10" s="564"/>
      <c r="L10" s="538"/>
    </row>
    <row r="11" spans="1:12" ht="27" customHeight="1">
      <c r="A11" s="90" t="s">
        <v>153</v>
      </c>
      <c r="B11" s="89"/>
      <c r="C11" s="116"/>
      <c r="D11" s="116"/>
      <c r="E11" s="117"/>
      <c r="F11" s="116"/>
      <c r="G11" s="116"/>
      <c r="H11" s="116"/>
      <c r="I11" s="117"/>
      <c r="J11" s="116"/>
      <c r="K11" s="117"/>
      <c r="L11" s="88"/>
    </row>
    <row r="12" spans="1:12" ht="39" customHeight="1">
      <c r="A12" s="194" t="s">
        <v>123</v>
      </c>
      <c r="B12" s="93"/>
      <c r="C12" s="114"/>
      <c r="D12" s="114"/>
      <c r="E12" s="115"/>
      <c r="F12" s="114">
        <v>30916160</v>
      </c>
      <c r="G12" s="114">
        <f>SUM(G14+G19+G23)</f>
        <v>30762389</v>
      </c>
      <c r="H12" s="114">
        <f>F12-G12</f>
        <v>153771</v>
      </c>
      <c r="I12" s="92"/>
      <c r="J12" s="114">
        <f>SUM(J14+J19+J23)</f>
        <v>30762389</v>
      </c>
      <c r="K12" s="115"/>
      <c r="L12" s="91"/>
    </row>
    <row r="13" spans="1:12" ht="61.5" customHeight="1">
      <c r="A13" s="112" t="s">
        <v>154</v>
      </c>
      <c r="B13" s="86"/>
      <c r="C13" s="113"/>
      <c r="D13" s="113"/>
      <c r="E13" s="118"/>
      <c r="F13" s="113"/>
      <c r="G13" s="113"/>
      <c r="H13" s="113"/>
      <c r="I13" s="113"/>
      <c r="J13" s="113"/>
      <c r="K13" s="192"/>
      <c r="L13" s="529" t="s">
        <v>395</v>
      </c>
    </row>
    <row r="14" spans="1:12" s="424" customFormat="1" ht="44.25" customHeight="1">
      <c r="A14" s="87" t="s">
        <v>225</v>
      </c>
      <c r="B14" s="86" t="s">
        <v>120</v>
      </c>
      <c r="C14" s="122">
        <f>C15</f>
        <v>762</v>
      </c>
      <c r="D14" s="122"/>
      <c r="E14" s="123"/>
      <c r="F14" s="122">
        <v>25910000</v>
      </c>
      <c r="G14" s="122">
        <f>SUM(G16:G18)</f>
        <v>25823575</v>
      </c>
      <c r="H14" s="122">
        <f>F14-G14</f>
        <v>86425</v>
      </c>
      <c r="I14" s="122">
        <f>SUM(G14/F14)*100</f>
        <v>99.666441528367429</v>
      </c>
      <c r="J14" s="122">
        <f>SUM(J16:J18)</f>
        <v>25823575</v>
      </c>
      <c r="K14" s="411">
        <f>SUM(J14/G14)*100</f>
        <v>100</v>
      </c>
      <c r="L14" s="529"/>
    </row>
    <row r="15" spans="1:12" s="138" customFormat="1" ht="22.5" customHeight="1">
      <c r="A15" s="195" t="s">
        <v>333</v>
      </c>
      <c r="B15" s="86" t="s">
        <v>120</v>
      </c>
      <c r="C15" s="122">
        <f>SUM(C16:C18)</f>
        <v>762</v>
      </c>
      <c r="D15" s="122">
        <f>SUM(D16:D18)</f>
        <v>765</v>
      </c>
      <c r="E15" s="123"/>
      <c r="F15" s="122"/>
      <c r="G15" s="122"/>
      <c r="H15" s="122"/>
      <c r="I15" s="122"/>
      <c r="J15" s="122"/>
      <c r="K15" s="193"/>
      <c r="L15" s="529"/>
    </row>
    <row r="16" spans="1:12" s="121" customFormat="1" ht="22.5" customHeight="1">
      <c r="A16" s="196" t="s">
        <v>334</v>
      </c>
      <c r="B16" s="111" t="s">
        <v>120</v>
      </c>
      <c r="C16" s="125">
        <v>470</v>
      </c>
      <c r="D16" s="125">
        <v>471</v>
      </c>
      <c r="E16" s="123"/>
      <c r="F16" s="125"/>
      <c r="G16" s="125">
        <v>14118225</v>
      </c>
      <c r="H16" s="122"/>
      <c r="I16" s="122"/>
      <c r="J16" s="125">
        <v>14118225</v>
      </c>
      <c r="K16" s="193"/>
      <c r="L16" s="529"/>
    </row>
    <row r="17" spans="1:12" s="121" customFormat="1" ht="22.5" customHeight="1">
      <c r="A17" s="196" t="s">
        <v>335</v>
      </c>
      <c r="B17" s="111" t="s">
        <v>120</v>
      </c>
      <c r="C17" s="125">
        <v>280</v>
      </c>
      <c r="D17" s="125">
        <v>282</v>
      </c>
      <c r="E17" s="123"/>
      <c r="F17" s="125"/>
      <c r="G17" s="125">
        <v>11225950</v>
      </c>
      <c r="H17" s="122"/>
      <c r="I17" s="122"/>
      <c r="J17" s="125">
        <v>11225950</v>
      </c>
      <c r="K17" s="193"/>
      <c r="L17" s="529"/>
    </row>
    <row r="18" spans="1:12" s="121" customFormat="1" ht="22.5" customHeight="1">
      <c r="A18" s="196" t="s">
        <v>336</v>
      </c>
      <c r="B18" s="111" t="s">
        <v>120</v>
      </c>
      <c r="C18" s="125">
        <v>12</v>
      </c>
      <c r="D18" s="125">
        <v>12</v>
      </c>
      <c r="E18" s="123"/>
      <c r="F18" s="125"/>
      <c r="G18" s="125">
        <v>479400</v>
      </c>
      <c r="H18" s="122"/>
      <c r="I18" s="122"/>
      <c r="J18" s="125">
        <v>479400</v>
      </c>
      <c r="K18" s="193"/>
      <c r="L18" s="529"/>
    </row>
    <row r="19" spans="1:12" s="424" customFormat="1" ht="42.75" customHeight="1">
      <c r="A19" s="167" t="s">
        <v>236</v>
      </c>
      <c r="B19" s="86" t="s">
        <v>120</v>
      </c>
      <c r="C19" s="167">
        <f>C20</f>
        <v>3352</v>
      </c>
      <c r="D19" s="122"/>
      <c r="E19" s="123"/>
      <c r="F19" s="168">
        <v>1832000</v>
      </c>
      <c r="G19" s="122">
        <v>1764900</v>
      </c>
      <c r="H19" s="122">
        <f>F19-G19</f>
        <v>67100</v>
      </c>
      <c r="I19" s="122">
        <f>SUM(G19/F19)*100</f>
        <v>96.33733624454149</v>
      </c>
      <c r="J19" s="122">
        <v>1764900</v>
      </c>
      <c r="K19" s="411">
        <f>SUM(J19/G19)*100</f>
        <v>100</v>
      </c>
      <c r="L19" s="529" t="s">
        <v>396</v>
      </c>
    </row>
    <row r="20" spans="1:12" s="138" customFormat="1" ht="25.5" customHeight="1">
      <c r="A20" s="166" t="s">
        <v>337</v>
      </c>
      <c r="B20" s="86" t="s">
        <v>120</v>
      </c>
      <c r="C20" s="167">
        <f>SUM(C21:C22)</f>
        <v>3352</v>
      </c>
      <c r="D20" s="122">
        <f>D21+D22</f>
        <v>639</v>
      </c>
      <c r="E20" s="123"/>
      <c r="F20" s="168"/>
      <c r="G20" s="122"/>
      <c r="H20" s="122"/>
      <c r="I20" s="123"/>
      <c r="J20" s="122"/>
      <c r="K20" s="193"/>
      <c r="L20" s="529"/>
    </row>
    <row r="21" spans="1:12" s="121" customFormat="1" ht="25.5" customHeight="1">
      <c r="A21" s="197" t="s">
        <v>338</v>
      </c>
      <c r="B21" s="111" t="s">
        <v>120</v>
      </c>
      <c r="C21" s="124">
        <v>2880</v>
      </c>
      <c r="D21" s="125">
        <v>580</v>
      </c>
      <c r="E21" s="126"/>
      <c r="F21" s="127"/>
      <c r="G21" s="127"/>
      <c r="H21" s="125"/>
      <c r="I21" s="126"/>
      <c r="J21" s="125"/>
      <c r="K21" s="193"/>
      <c r="L21" s="529"/>
    </row>
    <row r="22" spans="1:12" s="121" customFormat="1" ht="25.5" customHeight="1">
      <c r="A22" s="197" t="s">
        <v>339</v>
      </c>
      <c r="B22" s="111" t="s">
        <v>120</v>
      </c>
      <c r="C22" s="124">
        <v>472</v>
      </c>
      <c r="D22" s="125">
        <v>59</v>
      </c>
      <c r="E22" s="126"/>
      <c r="F22" s="127"/>
      <c r="G22" s="127"/>
      <c r="H22" s="125"/>
      <c r="I22" s="126"/>
      <c r="J22" s="125"/>
      <c r="K22" s="193"/>
      <c r="L22" s="529"/>
    </row>
    <row r="23" spans="1:12" ht="15.75">
      <c r="A23" s="87" t="s">
        <v>340</v>
      </c>
      <c r="B23" s="87"/>
      <c r="C23" s="125"/>
      <c r="D23" s="122"/>
      <c r="E23" s="123"/>
      <c r="F23" s="122">
        <v>3174160</v>
      </c>
      <c r="G23" s="122">
        <f>SUM(G26:G32)</f>
        <v>3173914</v>
      </c>
      <c r="H23" s="122">
        <f>F23-G23</f>
        <v>246</v>
      </c>
      <c r="I23" s="122">
        <f>SUM(G23/F23)*100</f>
        <v>99.992249918088561</v>
      </c>
      <c r="J23" s="122">
        <f>SUM(J26:J32)</f>
        <v>3173914</v>
      </c>
      <c r="K23" s="411">
        <f>SUM(J23/G23)*100</f>
        <v>100</v>
      </c>
      <c r="L23" s="180"/>
    </row>
    <row r="24" spans="1:12" s="138" customFormat="1" ht="15.75" hidden="1" customHeight="1">
      <c r="A24" s="169" t="s">
        <v>155</v>
      </c>
      <c r="B24" s="86" t="s">
        <v>121</v>
      </c>
      <c r="C24" s="208">
        <v>738</v>
      </c>
      <c r="D24" s="170"/>
      <c r="E24" s="123"/>
      <c r="F24" s="208"/>
      <c r="G24" s="208"/>
      <c r="H24" s="171"/>
      <c r="I24" s="128"/>
      <c r="J24" s="171"/>
      <c r="K24" s="193"/>
      <c r="L24" s="529" t="s">
        <v>341</v>
      </c>
    </row>
    <row r="25" spans="1:12" s="138" customFormat="1" ht="15.75" hidden="1">
      <c r="A25" s="169" t="s">
        <v>156</v>
      </c>
      <c r="B25" s="86" t="s">
        <v>117</v>
      </c>
      <c r="C25" s="208">
        <v>2784</v>
      </c>
      <c r="D25" s="170"/>
      <c r="E25" s="123"/>
      <c r="F25" s="208"/>
      <c r="G25" s="208"/>
      <c r="H25" s="171"/>
      <c r="I25" s="128"/>
      <c r="J25" s="171"/>
      <c r="K25" s="193"/>
      <c r="L25" s="529"/>
    </row>
    <row r="26" spans="1:12" s="121" customFormat="1" ht="56.25" customHeight="1">
      <c r="A26" s="176" t="s">
        <v>342</v>
      </c>
      <c r="B26" s="177" t="s">
        <v>347</v>
      </c>
      <c r="C26" s="209">
        <v>100</v>
      </c>
      <c r="D26" s="209">
        <v>100</v>
      </c>
      <c r="E26" s="178"/>
      <c r="F26" s="209"/>
      <c r="G26" s="209">
        <v>245000</v>
      </c>
      <c r="H26" s="125"/>
      <c r="I26" s="125"/>
      <c r="J26" s="179">
        <v>245000</v>
      </c>
      <c r="K26" s="193">
        <f t="shared" ref="K26:K32" si="0">SUM(J26/G26)*100</f>
        <v>100</v>
      </c>
      <c r="L26" s="542" t="s">
        <v>367</v>
      </c>
    </row>
    <row r="27" spans="1:12" s="121" customFormat="1" ht="42.75" customHeight="1">
      <c r="A27" s="176" t="s">
        <v>343</v>
      </c>
      <c r="B27" s="177" t="s">
        <v>117</v>
      </c>
      <c r="C27" s="209">
        <v>50</v>
      </c>
      <c r="D27" s="209">
        <v>50</v>
      </c>
      <c r="E27" s="178"/>
      <c r="F27" s="209"/>
      <c r="G27" s="209">
        <v>50000</v>
      </c>
      <c r="H27" s="125"/>
      <c r="I27" s="125"/>
      <c r="J27" s="179">
        <v>50000</v>
      </c>
      <c r="K27" s="193">
        <f t="shared" si="0"/>
        <v>100</v>
      </c>
      <c r="L27" s="542"/>
    </row>
    <row r="28" spans="1:12" s="121" customFormat="1" ht="24.75" customHeight="1">
      <c r="A28" s="176" t="s">
        <v>344</v>
      </c>
      <c r="B28" s="177" t="s">
        <v>348</v>
      </c>
      <c r="C28" s="209">
        <v>30</v>
      </c>
      <c r="D28" s="209">
        <v>30</v>
      </c>
      <c r="E28" s="178"/>
      <c r="F28" s="209"/>
      <c r="G28" s="209">
        <v>600000</v>
      </c>
      <c r="H28" s="125"/>
      <c r="I28" s="125"/>
      <c r="J28" s="179">
        <v>600000</v>
      </c>
      <c r="K28" s="193">
        <f t="shared" si="0"/>
        <v>100</v>
      </c>
      <c r="L28" s="539" t="s">
        <v>396</v>
      </c>
    </row>
    <row r="29" spans="1:12" s="121" customFormat="1" ht="24.75" customHeight="1">
      <c r="A29" s="176" t="s">
        <v>345</v>
      </c>
      <c r="B29" s="177" t="s">
        <v>348</v>
      </c>
      <c r="C29" s="209">
        <v>10</v>
      </c>
      <c r="D29" s="209">
        <v>10</v>
      </c>
      <c r="E29" s="178"/>
      <c r="F29" s="209"/>
      <c r="G29" s="209">
        <v>57400</v>
      </c>
      <c r="H29" s="125"/>
      <c r="I29" s="125"/>
      <c r="J29" s="179">
        <v>57400</v>
      </c>
      <c r="K29" s="193">
        <f t="shared" si="0"/>
        <v>100</v>
      </c>
      <c r="L29" s="540"/>
    </row>
    <row r="30" spans="1:12" s="121" customFormat="1" ht="24.75" customHeight="1">
      <c r="A30" s="176" t="s">
        <v>346</v>
      </c>
      <c r="B30" s="177" t="s">
        <v>347</v>
      </c>
      <c r="C30" s="209">
        <v>100</v>
      </c>
      <c r="D30" s="209">
        <v>100</v>
      </c>
      <c r="E30" s="178"/>
      <c r="F30" s="209"/>
      <c r="G30" s="209">
        <v>245000</v>
      </c>
      <c r="H30" s="125"/>
      <c r="I30" s="125"/>
      <c r="J30" s="179">
        <v>245000</v>
      </c>
      <c r="K30" s="193">
        <f t="shared" si="0"/>
        <v>100</v>
      </c>
      <c r="L30" s="540"/>
    </row>
    <row r="31" spans="1:12" s="121" customFormat="1" ht="24.75" customHeight="1">
      <c r="A31" s="176" t="s">
        <v>353</v>
      </c>
      <c r="B31" s="177" t="s">
        <v>117</v>
      </c>
      <c r="C31" s="209">
        <v>300</v>
      </c>
      <c r="D31" s="209">
        <v>300</v>
      </c>
      <c r="E31" s="178"/>
      <c r="F31" s="209"/>
      <c r="G31" s="209">
        <v>437850</v>
      </c>
      <c r="H31" s="125"/>
      <c r="I31" s="125"/>
      <c r="J31" s="179">
        <v>437850</v>
      </c>
      <c r="K31" s="193">
        <f t="shared" si="0"/>
        <v>100</v>
      </c>
      <c r="L31" s="540"/>
    </row>
    <row r="32" spans="1:12" ht="24.75" customHeight="1">
      <c r="A32" s="176" t="s">
        <v>351</v>
      </c>
      <c r="B32" s="177" t="s">
        <v>352</v>
      </c>
      <c r="C32" s="209">
        <v>2068</v>
      </c>
      <c r="D32" s="209">
        <v>2068</v>
      </c>
      <c r="E32" s="178"/>
      <c r="F32" s="209"/>
      <c r="G32" s="209">
        <v>1538664</v>
      </c>
      <c r="H32" s="125"/>
      <c r="I32" s="125"/>
      <c r="J32" s="179">
        <v>1538664</v>
      </c>
      <c r="K32" s="193">
        <f t="shared" si="0"/>
        <v>100</v>
      </c>
      <c r="L32" s="541"/>
    </row>
    <row r="33" spans="1:11">
      <c r="K33" s="205"/>
    </row>
    <row r="34" spans="1:11" s="182" customFormat="1" ht="16.5" customHeight="1">
      <c r="A34" s="182" t="s">
        <v>354</v>
      </c>
      <c r="C34" s="182" t="s">
        <v>355</v>
      </c>
      <c r="F34" s="182" t="s">
        <v>356</v>
      </c>
      <c r="H34" s="183"/>
      <c r="K34" s="182" t="s">
        <v>357</v>
      </c>
    </row>
    <row r="35" spans="1:11" s="182" customFormat="1" ht="18.75">
      <c r="H35" s="184"/>
    </row>
    <row r="36" spans="1:11" s="182" customFormat="1" ht="18.75"/>
    <row r="37" spans="1:11" s="189" customFormat="1" ht="21">
      <c r="A37" s="189" t="s">
        <v>415</v>
      </c>
      <c r="C37" s="189" t="s">
        <v>359</v>
      </c>
      <c r="F37" s="189" t="s">
        <v>425</v>
      </c>
      <c r="H37" s="189" t="s">
        <v>388</v>
      </c>
      <c r="K37" s="189" t="s">
        <v>372</v>
      </c>
    </row>
    <row r="38" spans="1:11" s="188" customFormat="1" ht="23.25">
      <c r="A38" s="190" t="s">
        <v>362</v>
      </c>
      <c r="B38" s="190"/>
      <c r="C38" s="190" t="s">
        <v>363</v>
      </c>
      <c r="D38" s="190"/>
      <c r="E38" s="190"/>
      <c r="F38" s="190" t="s">
        <v>391</v>
      </c>
      <c r="G38" s="190"/>
      <c r="H38" s="198" t="s">
        <v>392</v>
      </c>
      <c r="I38" s="190"/>
      <c r="J38" s="190"/>
      <c r="K38" s="190" t="s">
        <v>373</v>
      </c>
    </row>
  </sheetData>
  <sheetProtection algorithmName="SHA-512" hashValue="Yt/yI2MRZchaWCM4RbE1OC6AEjs/SNUsMIU8XRz+ip1xdZ0ny9/e0PlEFi9duzfz4QNkwepgPgtQJpNYQvdf/w==" saltValue="NWvYWPkR7dTtGFfwD+LnJg==" spinCount="100000" sheet="1" objects="1" scenarios="1"/>
  <mergeCells count="23">
    <mergeCell ref="L28:L32"/>
    <mergeCell ref="L26:L27"/>
    <mergeCell ref="F6:K6"/>
    <mergeCell ref="A7:A10"/>
    <mergeCell ref="B7:B10"/>
    <mergeCell ref="C7:E7"/>
    <mergeCell ref="F7:K7"/>
    <mergeCell ref="C8:C10"/>
    <mergeCell ref="D8:E8"/>
    <mergeCell ref="F8:F10"/>
    <mergeCell ref="G8:I8"/>
    <mergeCell ref="J8:K8"/>
    <mergeCell ref="K9:K10"/>
    <mergeCell ref="D9:D10"/>
    <mergeCell ref="E9:E10"/>
    <mergeCell ref="G9:G10"/>
    <mergeCell ref="L24:L25"/>
    <mergeCell ref="H9:H10"/>
    <mergeCell ref="I9:I10"/>
    <mergeCell ref="J9:J10"/>
    <mergeCell ref="L7:L10"/>
    <mergeCell ref="L13:L18"/>
    <mergeCell ref="L19:L22"/>
  </mergeCells>
  <printOptions horizontalCentered="1"/>
  <pageMargins left="0.19685039370078741" right="0.19685039370078741" top="0.19685039370078741" bottom="0.19685039370078741" header="0.19685039370078741" footer="0.19685039370078741"/>
  <pageSetup paperSize="10000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1"/>
  <sheetViews>
    <sheetView zoomScale="80" zoomScaleNormal="80" workbookViewId="0">
      <pane xSplit="1" ySplit="11" topLeftCell="B12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defaultColWidth="17.28515625" defaultRowHeight="15"/>
  <cols>
    <col min="1" max="1" width="65.85546875" style="6" customWidth="1"/>
    <col min="2" max="2" width="33.85546875" style="6" customWidth="1"/>
    <col min="3" max="3" width="12.42578125" style="6" customWidth="1"/>
    <col min="4" max="4" width="13.28515625" style="6" customWidth="1"/>
    <col min="5" max="5" width="13.85546875" style="6" customWidth="1"/>
    <col min="6" max="7" width="21.140625" style="6" customWidth="1"/>
    <col min="8" max="8" width="11.28515625" style="6" bestFit="1" customWidth="1"/>
    <col min="9" max="9" width="20.85546875" style="6" customWidth="1"/>
    <col min="10" max="10" width="20.7109375" style="6" customWidth="1"/>
    <col min="11" max="11" width="10.85546875" style="6" customWidth="1"/>
    <col min="12" max="12" width="42.140625" style="6" customWidth="1"/>
    <col min="13" max="13" width="20.42578125" style="4" customWidth="1"/>
    <col min="14" max="14" width="17.28515625" style="4" hidden="1" customWidth="1"/>
    <col min="15" max="15" width="17.28515625" style="4" customWidth="1"/>
    <col min="16" max="16" width="21.28515625" style="4" customWidth="1"/>
    <col min="17" max="33" width="17.28515625" style="4" customWidth="1"/>
    <col min="34" max="16384" width="17.28515625" style="4"/>
  </cols>
  <sheetData>
    <row r="1" spans="1:15" ht="20.10000000000000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 ht="20.100000000000001" customHeight="1">
      <c r="A2" s="2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20.100000000000001" customHeight="1">
      <c r="A3" s="2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ht="20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ht="20.100000000000001" customHeight="1">
      <c r="A5" s="5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5" ht="20.100000000000001" customHeight="1">
      <c r="A6" s="3" t="s">
        <v>20</v>
      </c>
      <c r="B6" s="3"/>
      <c r="C6" s="3"/>
      <c r="D6" s="3"/>
      <c r="E6" s="3"/>
      <c r="G6" s="7"/>
      <c r="H6" s="7"/>
      <c r="I6" s="7"/>
      <c r="J6" s="7"/>
      <c r="K6" s="7"/>
      <c r="L6" s="8"/>
    </row>
    <row r="7" spans="1:15" ht="20.100000000000001" customHeight="1">
      <c r="A7" s="94" t="s">
        <v>116</v>
      </c>
      <c r="B7" s="3"/>
      <c r="C7" s="3"/>
      <c r="D7" s="3"/>
      <c r="E7" s="3"/>
      <c r="G7" s="7"/>
      <c r="H7" s="7"/>
      <c r="I7" s="7"/>
      <c r="J7" s="7"/>
      <c r="K7" s="7"/>
      <c r="L7" s="8"/>
    </row>
    <row r="8" spans="1:15" ht="15.7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</row>
    <row r="9" spans="1:15" s="2" customFormat="1" ht="30" customHeight="1" thickBot="1">
      <c r="A9" s="578" t="s">
        <v>1</v>
      </c>
      <c r="B9" s="571" t="s">
        <v>13</v>
      </c>
      <c r="C9" s="571" t="s">
        <v>21</v>
      </c>
      <c r="D9" s="571"/>
      <c r="E9" s="571"/>
      <c r="F9" s="571" t="s">
        <v>22</v>
      </c>
      <c r="G9" s="571"/>
      <c r="H9" s="571"/>
      <c r="I9" s="571"/>
      <c r="J9" s="571" t="s">
        <v>3</v>
      </c>
      <c r="K9" s="571"/>
      <c r="L9" s="571" t="s">
        <v>10</v>
      </c>
    </row>
    <row r="10" spans="1:15" s="2" customFormat="1" ht="30" customHeight="1" thickBot="1">
      <c r="A10" s="579"/>
      <c r="B10" s="571"/>
      <c r="C10" s="571" t="s">
        <v>4</v>
      </c>
      <c r="D10" s="571" t="s">
        <v>5</v>
      </c>
      <c r="E10" s="571"/>
      <c r="F10" s="571" t="s">
        <v>11</v>
      </c>
      <c r="G10" s="571" t="s">
        <v>12</v>
      </c>
      <c r="H10" s="571" t="s">
        <v>6</v>
      </c>
      <c r="I10" s="578" t="s">
        <v>9</v>
      </c>
      <c r="J10" s="571" t="s">
        <v>7</v>
      </c>
      <c r="K10" s="571" t="s">
        <v>6</v>
      </c>
      <c r="L10" s="571"/>
    </row>
    <row r="11" spans="1:15" s="2" customFormat="1" ht="30" customHeight="1" thickBot="1">
      <c r="A11" s="580"/>
      <c r="B11" s="571"/>
      <c r="C11" s="571"/>
      <c r="D11" s="11" t="s">
        <v>8</v>
      </c>
      <c r="E11" s="11" t="s">
        <v>6</v>
      </c>
      <c r="F11" s="571"/>
      <c r="G11" s="571"/>
      <c r="H11" s="571"/>
      <c r="I11" s="580"/>
      <c r="J11" s="571"/>
      <c r="K11" s="571"/>
      <c r="L11" s="571"/>
    </row>
    <row r="12" spans="1:15" s="52" customFormat="1" ht="30" customHeight="1" thickBot="1">
      <c r="A12" s="47" t="s">
        <v>28</v>
      </c>
      <c r="B12" s="48"/>
      <c r="C12" s="49"/>
      <c r="D12" s="50"/>
      <c r="E12" s="51"/>
      <c r="F12" s="51">
        <f>F13+F24</f>
        <v>151238620.21000001</v>
      </c>
      <c r="G12" s="51">
        <f>G13+G24</f>
        <v>144600969.21000001</v>
      </c>
      <c r="H12" s="51">
        <f>G12/F12*100</f>
        <v>95.611140202956506</v>
      </c>
      <c r="I12" s="51">
        <f>I13+I24</f>
        <v>6637651</v>
      </c>
      <c r="J12" s="51">
        <f>J13+J24</f>
        <v>25404114.149999999</v>
      </c>
      <c r="K12" s="51">
        <f>J12/G12*100</f>
        <v>17.568425916361807</v>
      </c>
      <c r="L12" s="48"/>
    </row>
    <row r="13" spans="1:15" s="12" customFormat="1" ht="30" customHeight="1" thickBot="1">
      <c r="A13" s="24" t="s">
        <v>26</v>
      </c>
      <c r="B13" s="24"/>
      <c r="C13" s="25"/>
      <c r="D13" s="26"/>
      <c r="E13" s="27"/>
      <c r="F13" s="27">
        <f>F14+F17</f>
        <v>28218620</v>
      </c>
      <c r="G13" s="27">
        <f>G14+G17</f>
        <v>28081869</v>
      </c>
      <c r="H13" s="27">
        <f>G13/F13*100</f>
        <v>99.515387357709201</v>
      </c>
      <c r="I13" s="27">
        <f>I14+I17</f>
        <v>136751</v>
      </c>
      <c r="J13" s="27">
        <f>J14+J17</f>
        <v>16385500.800000001</v>
      </c>
      <c r="K13" s="27">
        <f>J13/G13*100</f>
        <v>58.349039374836487</v>
      </c>
      <c r="L13" s="28"/>
    </row>
    <row r="14" spans="1:15" s="13" customFormat="1" ht="30" customHeight="1">
      <c r="A14" s="29" t="s">
        <v>24</v>
      </c>
      <c r="B14" s="29"/>
      <c r="C14" s="30"/>
      <c r="D14" s="31"/>
      <c r="E14" s="32"/>
      <c r="F14" s="32">
        <f>F15+F16</f>
        <v>17668620</v>
      </c>
      <c r="G14" s="32">
        <f>G15+G16</f>
        <v>17668620</v>
      </c>
      <c r="H14" s="32">
        <f t="shared" ref="H14:H63" si="0">G14/F14*100</f>
        <v>100</v>
      </c>
      <c r="I14" s="32">
        <f>I15+I16</f>
        <v>0</v>
      </c>
      <c r="J14" s="32">
        <f>J15+J16</f>
        <v>16385500.800000001</v>
      </c>
      <c r="K14" s="32">
        <f>J14/G14*100</f>
        <v>92.737864077669911</v>
      </c>
      <c r="L14" s="33"/>
      <c r="N14" s="19">
        <v>15</v>
      </c>
    </row>
    <row r="15" spans="1:15" s="13" customFormat="1" ht="56.25" customHeight="1">
      <c r="A15" s="34" t="s">
        <v>16</v>
      </c>
      <c r="B15" s="35" t="s">
        <v>14</v>
      </c>
      <c r="C15" s="36">
        <v>8577</v>
      </c>
      <c r="D15" s="37">
        <v>8577</v>
      </c>
      <c r="E15" s="38">
        <f t="shared" ref="E15:E23" si="1">D15/C15*100</f>
        <v>100</v>
      </c>
      <c r="F15" s="39">
        <v>11664720</v>
      </c>
      <c r="G15" s="40">
        <v>11664720</v>
      </c>
      <c r="H15" s="38">
        <f t="shared" si="0"/>
        <v>100</v>
      </c>
      <c r="I15" s="38">
        <f>F15-G15</f>
        <v>0</v>
      </c>
      <c r="J15" s="41">
        <v>10381600.800000001</v>
      </c>
      <c r="K15" s="41">
        <f>J15/G15*100</f>
        <v>89</v>
      </c>
      <c r="L15" s="18" t="s">
        <v>80</v>
      </c>
      <c r="N15" s="17"/>
    </row>
    <row r="16" spans="1:15" s="13" customFormat="1" ht="55.5" customHeight="1">
      <c r="A16" s="42" t="s">
        <v>17</v>
      </c>
      <c r="B16" s="35" t="s">
        <v>15</v>
      </c>
      <c r="C16" s="36">
        <v>17154</v>
      </c>
      <c r="D16" s="37">
        <f>294+576+7846</f>
        <v>8716</v>
      </c>
      <c r="E16" s="38">
        <f t="shared" si="1"/>
        <v>50.810306634021217</v>
      </c>
      <c r="F16" s="39">
        <v>6003900</v>
      </c>
      <c r="G16" s="40">
        <v>6003900</v>
      </c>
      <c r="H16" s="38">
        <f t="shared" si="0"/>
        <v>100</v>
      </c>
      <c r="I16" s="38">
        <f>F16-G16</f>
        <v>0</v>
      </c>
      <c r="J16" s="41">
        <v>6003900</v>
      </c>
      <c r="K16" s="41">
        <f>J16/G16*100</f>
        <v>100</v>
      </c>
      <c r="L16" s="18" t="s">
        <v>77</v>
      </c>
      <c r="N16" s="17"/>
    </row>
    <row r="17" spans="1:14" s="12" customFormat="1" ht="30" customHeight="1">
      <c r="A17" s="54" t="s">
        <v>29</v>
      </c>
      <c r="B17" s="54"/>
      <c r="C17" s="54">
        <f>C18</f>
        <v>5</v>
      </c>
      <c r="D17" s="55"/>
      <c r="E17" s="56"/>
      <c r="F17" s="57">
        <f>F18</f>
        <v>10550000</v>
      </c>
      <c r="G17" s="54">
        <f>G18</f>
        <v>10413249</v>
      </c>
      <c r="H17" s="56">
        <f t="shared" si="0"/>
        <v>98.703781990521321</v>
      </c>
      <c r="I17" s="57">
        <f>I18</f>
        <v>136751</v>
      </c>
      <c r="J17" s="54">
        <f>J18</f>
        <v>0</v>
      </c>
      <c r="K17" s="56"/>
      <c r="L17" s="58"/>
      <c r="N17" s="59"/>
    </row>
    <row r="18" spans="1:14" s="12" customFormat="1" ht="37.5" customHeight="1">
      <c r="A18" s="60" t="s">
        <v>27</v>
      </c>
      <c r="B18" s="61" t="s">
        <v>18</v>
      </c>
      <c r="C18" s="43">
        <f>C19+C20+C21+C22+C23</f>
        <v>5</v>
      </c>
      <c r="D18" s="64">
        <v>0</v>
      </c>
      <c r="E18" s="65">
        <f t="shared" si="1"/>
        <v>0</v>
      </c>
      <c r="F18" s="62">
        <f>SUM(F19:F23)</f>
        <v>10550000</v>
      </c>
      <c r="G18" s="62">
        <f>SUM(G19:G23)</f>
        <v>10413249</v>
      </c>
      <c r="H18" s="44">
        <f t="shared" si="0"/>
        <v>98.703781990521321</v>
      </c>
      <c r="I18" s="44">
        <f t="shared" ref="I18:I23" si="2">F18-G18</f>
        <v>136751</v>
      </c>
      <c r="J18" s="65">
        <v>0</v>
      </c>
      <c r="K18" s="65"/>
      <c r="L18" s="66"/>
      <c r="N18" s="63"/>
    </row>
    <row r="19" spans="1:14" s="12" customFormat="1" ht="37.5" customHeight="1">
      <c r="A19" s="46" t="s">
        <v>71</v>
      </c>
      <c r="B19" s="61" t="s">
        <v>18</v>
      </c>
      <c r="C19" s="43">
        <v>1</v>
      </c>
      <c r="D19" s="64">
        <v>0</v>
      </c>
      <c r="E19" s="65">
        <f t="shared" si="1"/>
        <v>0</v>
      </c>
      <c r="F19" s="62">
        <v>1000000</v>
      </c>
      <c r="G19" s="43">
        <v>994072</v>
      </c>
      <c r="H19" s="44">
        <f t="shared" si="0"/>
        <v>99.407199999999989</v>
      </c>
      <c r="I19" s="44">
        <f t="shared" si="2"/>
        <v>5928</v>
      </c>
      <c r="J19" s="65">
        <v>0</v>
      </c>
      <c r="K19" s="65"/>
      <c r="L19" s="67" t="s">
        <v>88</v>
      </c>
      <c r="N19" s="63"/>
    </row>
    <row r="20" spans="1:14" s="12" customFormat="1" ht="63" customHeight="1">
      <c r="A20" s="46" t="s">
        <v>72</v>
      </c>
      <c r="B20" s="61" t="s">
        <v>18</v>
      </c>
      <c r="C20" s="43">
        <v>1</v>
      </c>
      <c r="D20" s="64">
        <v>0</v>
      </c>
      <c r="E20" s="65">
        <f t="shared" si="1"/>
        <v>0</v>
      </c>
      <c r="F20" s="62">
        <v>3450000</v>
      </c>
      <c r="G20" s="43">
        <f>1844705+1490629</f>
        <v>3335334</v>
      </c>
      <c r="H20" s="44">
        <f t="shared" si="0"/>
        <v>96.676347826086968</v>
      </c>
      <c r="I20" s="44">
        <f t="shared" si="2"/>
        <v>114666</v>
      </c>
      <c r="J20" s="65">
        <v>0</v>
      </c>
      <c r="K20" s="65"/>
      <c r="L20" s="67" t="s">
        <v>89</v>
      </c>
      <c r="N20" s="63"/>
    </row>
    <row r="21" spans="1:14" s="12" customFormat="1" ht="37.5" customHeight="1">
      <c r="A21" s="46" t="s">
        <v>73</v>
      </c>
      <c r="B21" s="61" t="s">
        <v>18</v>
      </c>
      <c r="C21" s="43">
        <v>1</v>
      </c>
      <c r="D21" s="64">
        <v>0</v>
      </c>
      <c r="E21" s="65">
        <f t="shared" si="1"/>
        <v>0</v>
      </c>
      <c r="F21" s="62">
        <v>2300000</v>
      </c>
      <c r="G21" s="43">
        <v>2300000</v>
      </c>
      <c r="H21" s="44">
        <f t="shared" si="0"/>
        <v>100</v>
      </c>
      <c r="I21" s="44">
        <f t="shared" si="2"/>
        <v>0</v>
      </c>
      <c r="J21" s="65">
        <v>0</v>
      </c>
      <c r="K21" s="65"/>
      <c r="L21" s="67" t="s">
        <v>90</v>
      </c>
      <c r="N21" s="63"/>
    </row>
    <row r="22" spans="1:14" s="12" customFormat="1" ht="37.5" customHeight="1">
      <c r="A22" s="45" t="s">
        <v>74</v>
      </c>
      <c r="B22" s="61" t="s">
        <v>18</v>
      </c>
      <c r="C22" s="43">
        <v>1</v>
      </c>
      <c r="D22" s="64">
        <v>0</v>
      </c>
      <c r="E22" s="65">
        <f t="shared" si="1"/>
        <v>0</v>
      </c>
      <c r="F22" s="62">
        <v>2900000</v>
      </c>
      <c r="G22" s="43">
        <v>2900000</v>
      </c>
      <c r="H22" s="44">
        <f t="shared" si="0"/>
        <v>100</v>
      </c>
      <c r="I22" s="44">
        <f t="shared" si="2"/>
        <v>0</v>
      </c>
      <c r="J22" s="65">
        <v>0</v>
      </c>
      <c r="K22" s="65"/>
      <c r="L22" s="67" t="s">
        <v>91</v>
      </c>
      <c r="N22" s="63"/>
    </row>
    <row r="23" spans="1:14" s="12" customFormat="1" ht="37.5" customHeight="1">
      <c r="A23" s="45" t="s">
        <v>75</v>
      </c>
      <c r="B23" s="61" t="s">
        <v>18</v>
      </c>
      <c r="C23" s="43">
        <v>1</v>
      </c>
      <c r="D23" s="64">
        <v>0</v>
      </c>
      <c r="E23" s="65">
        <f t="shared" si="1"/>
        <v>0</v>
      </c>
      <c r="F23" s="62">
        <v>900000</v>
      </c>
      <c r="G23" s="43">
        <v>883843</v>
      </c>
      <c r="H23" s="44">
        <f t="shared" si="0"/>
        <v>98.204777777777778</v>
      </c>
      <c r="I23" s="44">
        <f t="shared" si="2"/>
        <v>16157</v>
      </c>
      <c r="J23" s="65">
        <v>0</v>
      </c>
      <c r="K23" s="65"/>
      <c r="L23" s="67" t="s">
        <v>92</v>
      </c>
      <c r="N23" s="63"/>
    </row>
    <row r="24" spans="1:14" s="12" customFormat="1" ht="37.5" customHeight="1">
      <c r="A24" s="54" t="s">
        <v>25</v>
      </c>
      <c r="B24" s="43"/>
      <c r="C24" s="71">
        <f>SUM(C25:C63)</f>
        <v>39</v>
      </c>
      <c r="D24" s="55">
        <f>SUM(D25:D63)</f>
        <v>4</v>
      </c>
      <c r="E24" s="55">
        <f>D24/C24*100</f>
        <v>10.256410256410255</v>
      </c>
      <c r="F24" s="55">
        <f t="shared" ref="F24:K24" si="3">SUM(F25:F63)</f>
        <v>123020000.21000001</v>
      </c>
      <c r="G24" s="55">
        <f t="shared" si="3"/>
        <v>116519100.21000001</v>
      </c>
      <c r="H24" s="56">
        <f t="shared" si="0"/>
        <v>94.715574712321001</v>
      </c>
      <c r="I24" s="55">
        <f t="shared" si="3"/>
        <v>6500900</v>
      </c>
      <c r="J24" s="55">
        <f t="shared" si="3"/>
        <v>9018613.3499999996</v>
      </c>
      <c r="K24" s="55">
        <f t="shared" si="3"/>
        <v>1.80372267</v>
      </c>
      <c r="L24" s="70"/>
      <c r="N24" s="63"/>
    </row>
    <row r="25" spans="1:14" s="12" customFormat="1" ht="51.75" customHeight="1">
      <c r="A25" s="45" t="s">
        <v>32</v>
      </c>
      <c r="B25" s="43" t="s">
        <v>23</v>
      </c>
      <c r="C25" s="68">
        <v>1</v>
      </c>
      <c r="D25" s="69">
        <v>0</v>
      </c>
      <c r="E25" s="44">
        <f>D25/C25*100</f>
        <v>0</v>
      </c>
      <c r="F25" s="44">
        <v>3044150.21</v>
      </c>
      <c r="G25" s="44">
        <v>3044150.21</v>
      </c>
      <c r="H25" s="44">
        <f t="shared" si="0"/>
        <v>100</v>
      </c>
      <c r="I25" s="44">
        <f>F25-G25</f>
        <v>0</v>
      </c>
      <c r="J25" s="44">
        <v>0</v>
      </c>
      <c r="K25" s="44">
        <v>0</v>
      </c>
      <c r="L25" s="70" t="s">
        <v>81</v>
      </c>
      <c r="N25" s="63"/>
    </row>
    <row r="26" spans="1:14" s="12" customFormat="1" ht="30" customHeight="1">
      <c r="A26" s="45" t="s">
        <v>33</v>
      </c>
      <c r="B26" s="43" t="s">
        <v>23</v>
      </c>
      <c r="C26" s="68">
        <v>1</v>
      </c>
      <c r="D26" s="69">
        <v>1</v>
      </c>
      <c r="E26" s="44">
        <f t="shared" ref="E26:E63" si="4">D26/C26*100</f>
        <v>100</v>
      </c>
      <c r="F26" s="44">
        <v>5000000</v>
      </c>
      <c r="G26" s="44">
        <v>5000000</v>
      </c>
      <c r="H26" s="44">
        <f t="shared" si="0"/>
        <v>100</v>
      </c>
      <c r="I26" s="44">
        <f t="shared" ref="I26:I63" si="5">F26-G26</f>
        <v>0</v>
      </c>
      <c r="J26" s="44">
        <v>2295312.41</v>
      </c>
      <c r="K26" s="44">
        <f>J26/G26</f>
        <v>0.45906248200000005</v>
      </c>
      <c r="L26" s="70" t="s">
        <v>78</v>
      </c>
      <c r="N26" s="72">
        <v>45</v>
      </c>
    </row>
    <row r="27" spans="1:14" s="12" customFormat="1" ht="30" customHeight="1">
      <c r="A27" s="45" t="s">
        <v>34</v>
      </c>
      <c r="B27" s="53" t="s">
        <v>23</v>
      </c>
      <c r="C27" s="68">
        <v>1</v>
      </c>
      <c r="D27" s="69">
        <v>1</v>
      </c>
      <c r="E27" s="44">
        <f t="shared" si="4"/>
        <v>100</v>
      </c>
      <c r="F27" s="44">
        <v>5000000</v>
      </c>
      <c r="G27" s="44">
        <v>5000000</v>
      </c>
      <c r="H27" s="44">
        <f t="shared" si="0"/>
        <v>100</v>
      </c>
      <c r="I27" s="44">
        <f t="shared" si="5"/>
        <v>0</v>
      </c>
      <c r="J27" s="44">
        <v>2772890.27</v>
      </c>
      <c r="K27" s="44">
        <f>J27/G27</f>
        <v>0.55457805400000004</v>
      </c>
      <c r="L27" s="70" t="s">
        <v>78</v>
      </c>
      <c r="N27" s="72">
        <v>52</v>
      </c>
    </row>
    <row r="28" spans="1:14" s="12" customFormat="1" ht="30" customHeight="1">
      <c r="A28" s="45" t="s">
        <v>35</v>
      </c>
      <c r="B28" s="53" t="s">
        <v>23</v>
      </c>
      <c r="C28" s="68">
        <v>1</v>
      </c>
      <c r="D28" s="69">
        <v>1</v>
      </c>
      <c r="E28" s="44">
        <f t="shared" si="4"/>
        <v>100</v>
      </c>
      <c r="F28" s="44">
        <v>5000000</v>
      </c>
      <c r="G28" s="44">
        <v>5000000</v>
      </c>
      <c r="H28" s="44">
        <f t="shared" si="0"/>
        <v>100</v>
      </c>
      <c r="I28" s="44">
        <f t="shared" si="5"/>
        <v>0</v>
      </c>
      <c r="J28" s="44">
        <v>2012805.48</v>
      </c>
      <c r="K28" s="44">
        <f>J28/G28</f>
        <v>0.40256109600000001</v>
      </c>
      <c r="L28" s="70" t="s">
        <v>76</v>
      </c>
      <c r="N28" s="72">
        <v>50</v>
      </c>
    </row>
    <row r="29" spans="1:14" s="12" customFormat="1" ht="30" customHeight="1">
      <c r="A29" s="45" t="s">
        <v>36</v>
      </c>
      <c r="B29" s="53" t="s">
        <v>23</v>
      </c>
      <c r="C29" s="68">
        <v>1</v>
      </c>
      <c r="D29" s="69">
        <v>1</v>
      </c>
      <c r="E29" s="44">
        <f t="shared" si="4"/>
        <v>100</v>
      </c>
      <c r="F29" s="44">
        <v>5000000</v>
      </c>
      <c r="G29" s="44">
        <v>5000000</v>
      </c>
      <c r="H29" s="44">
        <f t="shared" si="0"/>
        <v>100</v>
      </c>
      <c r="I29" s="44">
        <f t="shared" si="5"/>
        <v>0</v>
      </c>
      <c r="J29" s="44">
        <v>1937605.19</v>
      </c>
      <c r="K29" s="44">
        <f>J29/G29</f>
        <v>0.38752103799999998</v>
      </c>
      <c r="L29" s="70" t="s">
        <v>76</v>
      </c>
      <c r="N29" s="72">
        <v>48</v>
      </c>
    </row>
    <row r="30" spans="1:14" s="12" customFormat="1" ht="30" customHeight="1">
      <c r="A30" s="45" t="s">
        <v>37</v>
      </c>
      <c r="B30" s="53" t="s">
        <v>23</v>
      </c>
      <c r="C30" s="68">
        <v>1</v>
      </c>
      <c r="D30" s="69">
        <v>0</v>
      </c>
      <c r="E30" s="44">
        <f t="shared" si="4"/>
        <v>0</v>
      </c>
      <c r="F30" s="44">
        <v>5000000</v>
      </c>
      <c r="G30" s="44">
        <v>5000000</v>
      </c>
      <c r="H30" s="44">
        <f t="shared" si="0"/>
        <v>100</v>
      </c>
      <c r="I30" s="44">
        <f t="shared" si="5"/>
        <v>0</v>
      </c>
      <c r="J30" s="44">
        <v>0</v>
      </c>
      <c r="K30" s="44">
        <f>J30/G30</f>
        <v>0</v>
      </c>
      <c r="L30" s="70" t="s">
        <v>79</v>
      </c>
      <c r="N30" s="72">
        <v>55</v>
      </c>
    </row>
    <row r="31" spans="1:14" s="12" customFormat="1" ht="30" customHeight="1">
      <c r="A31" s="45" t="s">
        <v>38</v>
      </c>
      <c r="B31" s="53" t="s">
        <v>23</v>
      </c>
      <c r="C31" s="68">
        <v>1</v>
      </c>
      <c r="D31" s="69">
        <v>0</v>
      </c>
      <c r="E31" s="44">
        <f t="shared" si="4"/>
        <v>0</v>
      </c>
      <c r="F31" s="44">
        <f>1600000+5650</f>
        <v>1605650</v>
      </c>
      <c r="G31" s="44">
        <f>1600000+5650</f>
        <v>1605650</v>
      </c>
      <c r="H31" s="44">
        <f t="shared" si="0"/>
        <v>100</v>
      </c>
      <c r="I31" s="44">
        <f t="shared" si="5"/>
        <v>0</v>
      </c>
      <c r="J31" s="44">
        <v>0</v>
      </c>
      <c r="K31" s="44">
        <v>0</v>
      </c>
      <c r="L31" s="70" t="s">
        <v>87</v>
      </c>
      <c r="N31" s="72">
        <v>13</v>
      </c>
    </row>
    <row r="32" spans="1:14" s="12" customFormat="1" ht="30" customHeight="1">
      <c r="A32" s="45" t="s">
        <v>39</v>
      </c>
      <c r="B32" s="53" t="s">
        <v>23</v>
      </c>
      <c r="C32" s="68">
        <v>1</v>
      </c>
      <c r="D32" s="69">
        <v>0</v>
      </c>
      <c r="E32" s="44">
        <f t="shared" si="4"/>
        <v>0</v>
      </c>
      <c r="F32" s="44">
        <v>1500000</v>
      </c>
      <c r="G32" s="44">
        <v>1500000</v>
      </c>
      <c r="H32" s="44">
        <f t="shared" si="0"/>
        <v>100</v>
      </c>
      <c r="I32" s="44">
        <f t="shared" si="5"/>
        <v>0</v>
      </c>
      <c r="J32" s="44">
        <v>0</v>
      </c>
      <c r="K32" s="44">
        <v>0</v>
      </c>
      <c r="L32" s="70" t="s">
        <v>87</v>
      </c>
      <c r="N32" s="72">
        <v>14</v>
      </c>
    </row>
    <row r="33" spans="1:14" s="12" customFormat="1" ht="30" customHeight="1">
      <c r="A33" s="45" t="s">
        <v>40</v>
      </c>
      <c r="B33" s="53" t="s">
        <v>23</v>
      </c>
      <c r="C33" s="68">
        <v>1</v>
      </c>
      <c r="D33" s="69">
        <v>0</v>
      </c>
      <c r="E33" s="44">
        <f t="shared" si="4"/>
        <v>0</v>
      </c>
      <c r="F33" s="44">
        <v>1200000</v>
      </c>
      <c r="G33" s="44">
        <v>1200000</v>
      </c>
      <c r="H33" s="44">
        <f t="shared" si="0"/>
        <v>100</v>
      </c>
      <c r="I33" s="44">
        <f t="shared" si="5"/>
        <v>0</v>
      </c>
      <c r="J33" s="44">
        <v>0</v>
      </c>
      <c r="K33" s="44">
        <v>0</v>
      </c>
      <c r="L33" s="70" t="s">
        <v>87</v>
      </c>
      <c r="N33" s="72">
        <v>13</v>
      </c>
    </row>
    <row r="34" spans="1:14" s="12" customFormat="1" ht="30" customHeight="1">
      <c r="A34" s="45" t="s">
        <v>41</v>
      </c>
      <c r="B34" s="53" t="s">
        <v>23</v>
      </c>
      <c r="C34" s="68">
        <v>1</v>
      </c>
      <c r="D34" s="69">
        <v>0</v>
      </c>
      <c r="E34" s="44">
        <f t="shared" si="4"/>
        <v>0</v>
      </c>
      <c r="F34" s="44">
        <v>1200000</v>
      </c>
      <c r="G34" s="44">
        <v>1200000</v>
      </c>
      <c r="H34" s="44">
        <f t="shared" si="0"/>
        <v>100</v>
      </c>
      <c r="I34" s="44">
        <f t="shared" si="5"/>
        <v>0</v>
      </c>
      <c r="J34" s="44">
        <v>0</v>
      </c>
      <c r="K34" s="44">
        <v>0</v>
      </c>
      <c r="L34" s="70" t="s">
        <v>87</v>
      </c>
      <c r="N34" s="72">
        <v>12</v>
      </c>
    </row>
    <row r="35" spans="1:14" s="12" customFormat="1" ht="30" customHeight="1">
      <c r="A35" s="45" t="s">
        <v>42</v>
      </c>
      <c r="B35" s="53" t="s">
        <v>23</v>
      </c>
      <c r="C35" s="68">
        <v>1</v>
      </c>
      <c r="D35" s="69">
        <v>0</v>
      </c>
      <c r="E35" s="44">
        <f t="shared" si="4"/>
        <v>0</v>
      </c>
      <c r="F35" s="44">
        <v>5300000</v>
      </c>
      <c r="G35" s="44">
        <v>5300000</v>
      </c>
      <c r="H35" s="44">
        <f t="shared" si="0"/>
        <v>100</v>
      </c>
      <c r="I35" s="44">
        <f t="shared" si="5"/>
        <v>0</v>
      </c>
      <c r="J35" s="44">
        <v>0</v>
      </c>
      <c r="K35" s="44">
        <v>0</v>
      </c>
      <c r="L35" s="70" t="s">
        <v>87</v>
      </c>
      <c r="N35" s="72">
        <v>53</v>
      </c>
    </row>
    <row r="36" spans="1:14" s="12" customFormat="1" ht="30" customHeight="1">
      <c r="A36" s="45" t="s">
        <v>43</v>
      </c>
      <c r="B36" s="53" t="s">
        <v>23</v>
      </c>
      <c r="C36" s="68">
        <v>1</v>
      </c>
      <c r="D36" s="69">
        <v>0</v>
      </c>
      <c r="E36" s="44">
        <f t="shared" si="4"/>
        <v>0</v>
      </c>
      <c r="F36" s="44">
        <v>1000000</v>
      </c>
      <c r="G36" s="44">
        <v>1000000</v>
      </c>
      <c r="H36" s="44">
        <f t="shared" si="0"/>
        <v>100</v>
      </c>
      <c r="I36" s="44">
        <f t="shared" si="5"/>
        <v>0</v>
      </c>
      <c r="J36" s="44">
        <v>0</v>
      </c>
      <c r="K36" s="44">
        <v>0</v>
      </c>
      <c r="L36" s="70" t="s">
        <v>87</v>
      </c>
      <c r="N36" s="72">
        <v>12</v>
      </c>
    </row>
    <row r="37" spans="1:14" s="12" customFormat="1" ht="30" customHeight="1">
      <c r="A37" s="45" t="s">
        <v>44</v>
      </c>
      <c r="B37" s="53" t="s">
        <v>23</v>
      </c>
      <c r="C37" s="68">
        <v>1</v>
      </c>
      <c r="D37" s="69">
        <v>0</v>
      </c>
      <c r="E37" s="44">
        <f t="shared" si="4"/>
        <v>0</v>
      </c>
      <c r="F37" s="44">
        <v>1200000</v>
      </c>
      <c r="G37" s="44">
        <v>1200000</v>
      </c>
      <c r="H37" s="44">
        <f t="shared" si="0"/>
        <v>100</v>
      </c>
      <c r="I37" s="44">
        <f t="shared" si="5"/>
        <v>0</v>
      </c>
      <c r="J37" s="44">
        <v>0</v>
      </c>
      <c r="K37" s="44">
        <v>0</v>
      </c>
      <c r="L37" s="70" t="s">
        <v>87</v>
      </c>
      <c r="N37" s="72">
        <v>12</v>
      </c>
    </row>
    <row r="38" spans="1:14" s="12" customFormat="1" ht="30" customHeight="1">
      <c r="A38" s="45" t="s">
        <v>45</v>
      </c>
      <c r="B38" s="53" t="s">
        <v>23</v>
      </c>
      <c r="C38" s="68">
        <v>1</v>
      </c>
      <c r="D38" s="69">
        <v>0</v>
      </c>
      <c r="E38" s="44">
        <f t="shared" si="4"/>
        <v>0</v>
      </c>
      <c r="F38" s="44">
        <v>1500000</v>
      </c>
      <c r="G38" s="44">
        <v>1500000</v>
      </c>
      <c r="H38" s="44">
        <f t="shared" si="0"/>
        <v>100</v>
      </c>
      <c r="I38" s="44">
        <f t="shared" si="5"/>
        <v>0</v>
      </c>
      <c r="J38" s="44">
        <v>0</v>
      </c>
      <c r="K38" s="44">
        <v>0</v>
      </c>
      <c r="L38" s="70" t="s">
        <v>87</v>
      </c>
      <c r="N38" s="72">
        <v>15</v>
      </c>
    </row>
    <row r="39" spans="1:14" s="12" customFormat="1" ht="30" customHeight="1">
      <c r="A39" s="45" t="s">
        <v>46</v>
      </c>
      <c r="B39" s="53" t="s">
        <v>23</v>
      </c>
      <c r="C39" s="68">
        <v>1</v>
      </c>
      <c r="D39" s="69">
        <v>0</v>
      </c>
      <c r="E39" s="44">
        <f t="shared" si="4"/>
        <v>0</v>
      </c>
      <c r="F39" s="44">
        <v>1200000</v>
      </c>
      <c r="G39" s="44">
        <v>1200000</v>
      </c>
      <c r="H39" s="44">
        <f t="shared" si="0"/>
        <v>100</v>
      </c>
      <c r="I39" s="44">
        <f t="shared" si="5"/>
        <v>0</v>
      </c>
      <c r="J39" s="44">
        <v>0</v>
      </c>
      <c r="K39" s="44">
        <v>0</v>
      </c>
      <c r="L39" s="70" t="s">
        <v>87</v>
      </c>
      <c r="N39" s="72">
        <v>14</v>
      </c>
    </row>
    <row r="40" spans="1:14" s="12" customFormat="1" ht="30" customHeight="1">
      <c r="A40" s="45" t="s">
        <v>47</v>
      </c>
      <c r="B40" s="53" t="s">
        <v>23</v>
      </c>
      <c r="C40" s="68">
        <v>1</v>
      </c>
      <c r="D40" s="69">
        <v>0</v>
      </c>
      <c r="E40" s="44">
        <f t="shared" si="4"/>
        <v>0</v>
      </c>
      <c r="F40" s="44">
        <v>1000000</v>
      </c>
      <c r="G40" s="44">
        <v>1000000</v>
      </c>
      <c r="H40" s="44">
        <f t="shared" si="0"/>
        <v>100</v>
      </c>
      <c r="I40" s="44">
        <f t="shared" si="5"/>
        <v>0</v>
      </c>
      <c r="J40" s="44">
        <v>0</v>
      </c>
      <c r="K40" s="44">
        <v>0</v>
      </c>
      <c r="L40" s="70" t="s">
        <v>87</v>
      </c>
      <c r="N40" s="72">
        <v>16</v>
      </c>
    </row>
    <row r="41" spans="1:14" s="12" customFormat="1" ht="30" customHeight="1">
      <c r="A41" s="45" t="s">
        <v>48</v>
      </c>
      <c r="B41" s="53" t="s">
        <v>23</v>
      </c>
      <c r="C41" s="68">
        <v>1</v>
      </c>
      <c r="D41" s="69">
        <v>0</v>
      </c>
      <c r="E41" s="44">
        <f t="shared" si="4"/>
        <v>0</v>
      </c>
      <c r="F41" s="44">
        <v>2000000</v>
      </c>
      <c r="G41" s="44">
        <v>2000000</v>
      </c>
      <c r="H41" s="44">
        <f t="shared" si="0"/>
        <v>100</v>
      </c>
      <c r="I41" s="44">
        <f t="shared" si="5"/>
        <v>0</v>
      </c>
      <c r="J41" s="44">
        <v>0</v>
      </c>
      <c r="K41" s="44">
        <v>0</v>
      </c>
      <c r="L41" s="70" t="s">
        <v>87</v>
      </c>
      <c r="N41" s="72">
        <v>15</v>
      </c>
    </row>
    <row r="42" spans="1:14" s="12" customFormat="1" ht="30" customHeight="1">
      <c r="A42" s="45" t="s">
        <v>49</v>
      </c>
      <c r="B42" s="53" t="s">
        <v>23</v>
      </c>
      <c r="C42" s="68">
        <v>1</v>
      </c>
      <c r="D42" s="69">
        <v>0</v>
      </c>
      <c r="E42" s="44">
        <f t="shared" si="4"/>
        <v>0</v>
      </c>
      <c r="F42" s="44">
        <v>3000000</v>
      </c>
      <c r="G42" s="44">
        <v>3000000</v>
      </c>
      <c r="H42" s="44">
        <f t="shared" si="0"/>
        <v>100</v>
      </c>
      <c r="I42" s="44">
        <f t="shared" si="5"/>
        <v>0</v>
      </c>
      <c r="J42" s="44">
        <v>0</v>
      </c>
      <c r="K42" s="44">
        <v>0</v>
      </c>
      <c r="L42" s="70" t="s">
        <v>87</v>
      </c>
      <c r="N42" s="72">
        <v>20</v>
      </c>
    </row>
    <row r="43" spans="1:14" s="12" customFormat="1" ht="30" customHeight="1">
      <c r="A43" s="45" t="s">
        <v>50</v>
      </c>
      <c r="B43" s="53" t="s">
        <v>23</v>
      </c>
      <c r="C43" s="68">
        <v>1</v>
      </c>
      <c r="D43" s="69">
        <v>0</v>
      </c>
      <c r="E43" s="44">
        <f t="shared" si="4"/>
        <v>0</v>
      </c>
      <c r="F43" s="44">
        <v>2000000</v>
      </c>
      <c r="G43" s="44">
        <v>2000000</v>
      </c>
      <c r="H43" s="44">
        <f t="shared" si="0"/>
        <v>100</v>
      </c>
      <c r="I43" s="44">
        <f t="shared" si="5"/>
        <v>0</v>
      </c>
      <c r="J43" s="44">
        <v>0</v>
      </c>
      <c r="K43" s="44">
        <v>0</v>
      </c>
      <c r="L43" s="70" t="s">
        <v>87</v>
      </c>
      <c r="N43" s="72">
        <v>16</v>
      </c>
    </row>
    <row r="44" spans="1:14" s="12" customFormat="1" ht="30" customHeight="1">
      <c r="A44" s="45" t="s">
        <v>51</v>
      </c>
      <c r="B44" s="53" t="s">
        <v>23</v>
      </c>
      <c r="C44" s="68">
        <v>1</v>
      </c>
      <c r="D44" s="69">
        <v>0</v>
      </c>
      <c r="E44" s="44">
        <f t="shared" si="4"/>
        <v>0</v>
      </c>
      <c r="F44" s="44">
        <v>2000000</v>
      </c>
      <c r="G44" s="44">
        <v>2000000</v>
      </c>
      <c r="H44" s="44">
        <f t="shared" si="0"/>
        <v>100</v>
      </c>
      <c r="I44" s="44">
        <f t="shared" si="5"/>
        <v>0</v>
      </c>
      <c r="J44" s="44">
        <v>0</v>
      </c>
      <c r="K44" s="44">
        <v>0</v>
      </c>
      <c r="L44" s="70" t="s">
        <v>87</v>
      </c>
      <c r="N44" s="72">
        <v>20</v>
      </c>
    </row>
    <row r="45" spans="1:14" s="12" customFormat="1" ht="30" customHeight="1">
      <c r="A45" s="45" t="s">
        <v>52</v>
      </c>
      <c r="B45" s="53" t="s">
        <v>23</v>
      </c>
      <c r="C45" s="68">
        <v>1</v>
      </c>
      <c r="D45" s="69">
        <v>0</v>
      </c>
      <c r="E45" s="44">
        <f t="shared" si="4"/>
        <v>0</v>
      </c>
      <c r="F45" s="44">
        <v>6000000</v>
      </c>
      <c r="G45" s="44">
        <v>6000000</v>
      </c>
      <c r="H45" s="44">
        <f t="shared" si="0"/>
        <v>100</v>
      </c>
      <c r="I45" s="44">
        <f t="shared" si="5"/>
        <v>0</v>
      </c>
      <c r="J45" s="44">
        <v>0</v>
      </c>
      <c r="K45" s="44">
        <v>0</v>
      </c>
      <c r="L45" s="70" t="s">
        <v>87</v>
      </c>
      <c r="N45" s="72">
        <v>52</v>
      </c>
    </row>
    <row r="46" spans="1:14" s="12" customFormat="1" ht="30" customHeight="1">
      <c r="A46" s="45" t="s">
        <v>53</v>
      </c>
      <c r="B46" s="53" t="s">
        <v>23</v>
      </c>
      <c r="C46" s="68">
        <v>1</v>
      </c>
      <c r="D46" s="69">
        <v>0</v>
      </c>
      <c r="E46" s="44">
        <f t="shared" si="4"/>
        <v>0</v>
      </c>
      <c r="F46" s="44">
        <v>4000000</v>
      </c>
      <c r="G46" s="44">
        <v>4000000</v>
      </c>
      <c r="H46" s="44">
        <f t="shared" si="0"/>
        <v>100</v>
      </c>
      <c r="I46" s="44">
        <f t="shared" si="5"/>
        <v>0</v>
      </c>
      <c r="J46" s="44">
        <v>0</v>
      </c>
      <c r="K46" s="44">
        <v>0</v>
      </c>
      <c r="L46" s="70" t="s">
        <v>87</v>
      </c>
      <c r="N46" s="72">
        <v>30</v>
      </c>
    </row>
    <row r="47" spans="1:14" s="12" customFormat="1" ht="39.75" customHeight="1">
      <c r="A47" s="45" t="s">
        <v>54</v>
      </c>
      <c r="B47" s="53" t="s">
        <v>23</v>
      </c>
      <c r="C47" s="68">
        <v>1</v>
      </c>
      <c r="D47" s="69">
        <v>0</v>
      </c>
      <c r="E47" s="44">
        <f t="shared" si="4"/>
        <v>0</v>
      </c>
      <c r="F47" s="44">
        <v>5500000</v>
      </c>
      <c r="G47" s="44">
        <v>0</v>
      </c>
      <c r="H47" s="44">
        <f t="shared" si="0"/>
        <v>0</v>
      </c>
      <c r="I47" s="44">
        <f t="shared" si="5"/>
        <v>5500000</v>
      </c>
      <c r="J47" s="44">
        <v>0</v>
      </c>
      <c r="K47" s="44">
        <v>0</v>
      </c>
      <c r="L47" s="70" t="s">
        <v>82</v>
      </c>
      <c r="N47" s="72">
        <v>48</v>
      </c>
    </row>
    <row r="48" spans="1:14" s="12" customFormat="1" ht="30" customHeight="1">
      <c r="A48" s="45" t="s">
        <v>55</v>
      </c>
      <c r="B48" s="53" t="s">
        <v>23</v>
      </c>
      <c r="C48" s="68">
        <v>1</v>
      </c>
      <c r="D48" s="69">
        <v>0</v>
      </c>
      <c r="E48" s="44">
        <f t="shared" si="4"/>
        <v>0</v>
      </c>
      <c r="F48" s="44">
        <v>5500000</v>
      </c>
      <c r="G48" s="44">
        <v>5000000</v>
      </c>
      <c r="H48" s="44">
        <f t="shared" si="0"/>
        <v>90.909090909090907</v>
      </c>
      <c r="I48" s="44">
        <f t="shared" si="5"/>
        <v>500000</v>
      </c>
      <c r="J48" s="44">
        <v>0</v>
      </c>
      <c r="K48" s="44">
        <v>0</v>
      </c>
      <c r="L48" s="70" t="s">
        <v>93</v>
      </c>
      <c r="N48" s="72">
        <v>52</v>
      </c>
    </row>
    <row r="49" spans="1:16" s="12" customFormat="1" ht="30" customHeight="1">
      <c r="A49" s="46" t="s">
        <v>56</v>
      </c>
      <c r="B49" s="43" t="s">
        <v>23</v>
      </c>
      <c r="C49" s="68">
        <v>1</v>
      </c>
      <c r="D49" s="69">
        <v>0</v>
      </c>
      <c r="E49" s="44">
        <f t="shared" si="4"/>
        <v>0</v>
      </c>
      <c r="F49" s="44">
        <v>5500000</v>
      </c>
      <c r="G49" s="44">
        <v>5000000</v>
      </c>
      <c r="H49" s="44">
        <f t="shared" si="0"/>
        <v>90.909090909090907</v>
      </c>
      <c r="I49" s="44">
        <f t="shared" si="5"/>
        <v>500000</v>
      </c>
      <c r="J49" s="44">
        <v>0</v>
      </c>
      <c r="K49" s="44">
        <v>0</v>
      </c>
      <c r="L49" s="70" t="s">
        <v>93</v>
      </c>
      <c r="N49" s="72">
        <v>50</v>
      </c>
    </row>
    <row r="50" spans="1:16" s="73" customFormat="1" ht="30" customHeight="1">
      <c r="A50" s="45" t="s">
        <v>57</v>
      </c>
      <c r="B50" s="43" t="s">
        <v>23</v>
      </c>
      <c r="C50" s="68">
        <v>1</v>
      </c>
      <c r="D50" s="69">
        <v>0</v>
      </c>
      <c r="E50" s="44">
        <f t="shared" si="4"/>
        <v>0</v>
      </c>
      <c r="F50" s="44">
        <v>2000000</v>
      </c>
      <c r="G50" s="44">
        <v>2000000</v>
      </c>
      <c r="H50" s="44">
        <f t="shared" si="0"/>
        <v>100</v>
      </c>
      <c r="I50" s="44">
        <f t="shared" si="5"/>
        <v>0</v>
      </c>
      <c r="J50" s="44">
        <v>0</v>
      </c>
      <c r="K50" s="44">
        <v>0</v>
      </c>
      <c r="L50" s="70" t="s">
        <v>93</v>
      </c>
      <c r="M50" s="2"/>
      <c r="N50" s="72">
        <v>15</v>
      </c>
      <c r="O50" s="2"/>
      <c r="P50" s="2"/>
    </row>
    <row r="51" spans="1:16" s="73" customFormat="1" ht="30" customHeight="1">
      <c r="A51" s="45" t="s">
        <v>58</v>
      </c>
      <c r="B51" s="43" t="s">
        <v>23</v>
      </c>
      <c r="C51" s="68">
        <v>1</v>
      </c>
      <c r="D51" s="69">
        <v>0</v>
      </c>
      <c r="E51" s="44">
        <f t="shared" si="4"/>
        <v>0</v>
      </c>
      <c r="F51" s="44">
        <v>3000000</v>
      </c>
      <c r="G51" s="44">
        <v>3000000</v>
      </c>
      <c r="H51" s="44">
        <f t="shared" si="0"/>
        <v>100</v>
      </c>
      <c r="I51" s="44">
        <f t="shared" si="5"/>
        <v>0</v>
      </c>
      <c r="J51" s="44">
        <v>0</v>
      </c>
      <c r="K51" s="44">
        <v>0</v>
      </c>
      <c r="L51" s="70" t="s">
        <v>93</v>
      </c>
      <c r="M51" s="2"/>
      <c r="N51" s="72">
        <v>19</v>
      </c>
      <c r="O51" s="2"/>
      <c r="P51" s="2"/>
    </row>
    <row r="52" spans="1:16" s="73" customFormat="1" ht="30" customHeight="1">
      <c r="A52" s="45" t="s">
        <v>59</v>
      </c>
      <c r="B52" s="43" t="s">
        <v>23</v>
      </c>
      <c r="C52" s="68">
        <v>1</v>
      </c>
      <c r="D52" s="69">
        <v>0</v>
      </c>
      <c r="E52" s="44">
        <f t="shared" si="4"/>
        <v>0</v>
      </c>
      <c r="F52" s="44">
        <v>1500000</v>
      </c>
      <c r="G52" s="44">
        <v>1500000</v>
      </c>
      <c r="H52" s="44">
        <f t="shared" si="0"/>
        <v>100</v>
      </c>
      <c r="I52" s="44">
        <f t="shared" si="5"/>
        <v>0</v>
      </c>
      <c r="J52" s="44">
        <v>0</v>
      </c>
      <c r="K52" s="44">
        <v>0</v>
      </c>
      <c r="L52" s="70" t="s">
        <v>93</v>
      </c>
      <c r="M52" s="2"/>
      <c r="N52" s="72">
        <v>12</v>
      </c>
      <c r="O52" s="2"/>
      <c r="P52" s="2"/>
    </row>
    <row r="53" spans="1:16" s="73" customFormat="1" ht="36.75" customHeight="1">
      <c r="A53" s="45" t="s">
        <v>60</v>
      </c>
      <c r="B53" s="43" t="s">
        <v>23</v>
      </c>
      <c r="C53" s="68">
        <v>1</v>
      </c>
      <c r="D53" s="69">
        <v>0</v>
      </c>
      <c r="E53" s="44">
        <f t="shared" si="4"/>
        <v>0</v>
      </c>
      <c r="F53" s="44">
        <v>1500000</v>
      </c>
      <c r="G53" s="44">
        <v>1500000</v>
      </c>
      <c r="H53" s="44">
        <f t="shared" si="0"/>
        <v>100</v>
      </c>
      <c r="I53" s="44">
        <f t="shared" si="5"/>
        <v>0</v>
      </c>
      <c r="J53" s="44">
        <v>0</v>
      </c>
      <c r="K53" s="44">
        <v>0</v>
      </c>
      <c r="L53" s="70" t="s">
        <v>93</v>
      </c>
      <c r="M53" s="2"/>
      <c r="N53" s="72">
        <v>12</v>
      </c>
      <c r="O53" s="2"/>
      <c r="P53" s="2"/>
    </row>
    <row r="54" spans="1:16" s="73" customFormat="1" ht="30" customHeight="1">
      <c r="A54" s="45" t="s">
        <v>70</v>
      </c>
      <c r="B54" s="43" t="s">
        <v>23</v>
      </c>
      <c r="C54" s="68">
        <v>1</v>
      </c>
      <c r="D54" s="69">
        <v>0</v>
      </c>
      <c r="E54" s="44">
        <f t="shared" si="4"/>
        <v>0</v>
      </c>
      <c r="F54" s="44">
        <v>1500000</v>
      </c>
      <c r="G54" s="44">
        <v>1500000</v>
      </c>
      <c r="H54" s="44">
        <f t="shared" si="0"/>
        <v>100</v>
      </c>
      <c r="I54" s="44">
        <f t="shared" si="5"/>
        <v>0</v>
      </c>
      <c r="J54" s="44">
        <v>0</v>
      </c>
      <c r="K54" s="44">
        <v>0</v>
      </c>
      <c r="L54" s="70" t="s">
        <v>93</v>
      </c>
      <c r="M54" s="2"/>
      <c r="N54" s="72">
        <v>11</v>
      </c>
      <c r="O54" s="2"/>
      <c r="P54" s="2"/>
    </row>
    <row r="55" spans="1:16" s="73" customFormat="1" ht="30" customHeight="1">
      <c r="A55" s="45" t="s">
        <v>61</v>
      </c>
      <c r="B55" s="43" t="s">
        <v>23</v>
      </c>
      <c r="C55" s="68">
        <v>1</v>
      </c>
      <c r="D55" s="69">
        <v>0</v>
      </c>
      <c r="E55" s="44">
        <f t="shared" si="4"/>
        <v>0</v>
      </c>
      <c r="F55" s="44">
        <v>6000000</v>
      </c>
      <c r="G55" s="44">
        <v>6000000</v>
      </c>
      <c r="H55" s="44">
        <f t="shared" si="0"/>
        <v>100</v>
      </c>
      <c r="I55" s="44">
        <f t="shared" si="5"/>
        <v>0</v>
      </c>
      <c r="J55" s="44">
        <v>0</v>
      </c>
      <c r="K55" s="44">
        <v>0</v>
      </c>
      <c r="L55" s="70" t="s">
        <v>83</v>
      </c>
      <c r="M55" s="2"/>
      <c r="N55" s="72">
        <v>53</v>
      </c>
      <c r="O55" s="2"/>
      <c r="P55" s="2"/>
    </row>
    <row r="56" spans="1:16" s="73" customFormat="1" ht="30" customHeight="1">
      <c r="A56" s="45" t="s">
        <v>62</v>
      </c>
      <c r="B56" s="43" t="s">
        <v>23</v>
      </c>
      <c r="C56" s="68">
        <v>1</v>
      </c>
      <c r="D56" s="69">
        <v>0</v>
      </c>
      <c r="E56" s="44">
        <f t="shared" si="4"/>
        <v>0</v>
      </c>
      <c r="F56" s="44">
        <v>5000000</v>
      </c>
      <c r="G56" s="44">
        <v>5000000</v>
      </c>
      <c r="H56" s="44">
        <f t="shared" si="0"/>
        <v>100</v>
      </c>
      <c r="I56" s="44">
        <f t="shared" si="5"/>
        <v>0</v>
      </c>
      <c r="J56" s="44">
        <v>0</v>
      </c>
      <c r="K56" s="44">
        <v>0</v>
      </c>
      <c r="L56" s="70" t="s">
        <v>83</v>
      </c>
      <c r="M56" s="2"/>
      <c r="N56" s="72">
        <v>49</v>
      </c>
      <c r="O56" s="2"/>
      <c r="P56" s="2"/>
    </row>
    <row r="57" spans="1:16" s="73" customFormat="1" ht="30" customHeight="1">
      <c r="A57" s="45" t="s">
        <v>63</v>
      </c>
      <c r="B57" s="43" t="s">
        <v>23</v>
      </c>
      <c r="C57" s="68">
        <v>1</v>
      </c>
      <c r="D57" s="69">
        <v>0</v>
      </c>
      <c r="E57" s="44">
        <f t="shared" si="4"/>
        <v>0</v>
      </c>
      <c r="F57" s="44">
        <v>5000000</v>
      </c>
      <c r="G57" s="44">
        <v>5000000</v>
      </c>
      <c r="H57" s="44">
        <f t="shared" si="0"/>
        <v>100</v>
      </c>
      <c r="I57" s="44">
        <f t="shared" si="5"/>
        <v>0</v>
      </c>
      <c r="J57" s="44">
        <v>0</v>
      </c>
      <c r="K57" s="44">
        <v>0</v>
      </c>
      <c r="L57" s="70" t="s">
        <v>84</v>
      </c>
      <c r="M57" s="2"/>
      <c r="N57" s="72">
        <v>48</v>
      </c>
      <c r="O57" s="2"/>
      <c r="P57" s="2"/>
    </row>
    <row r="58" spans="1:16" s="73" customFormat="1" ht="30" customHeight="1">
      <c r="A58" s="45" t="s">
        <v>64</v>
      </c>
      <c r="B58" s="43" t="s">
        <v>23</v>
      </c>
      <c r="C58" s="68">
        <v>1</v>
      </c>
      <c r="D58" s="69">
        <v>0</v>
      </c>
      <c r="E58" s="44">
        <f t="shared" si="4"/>
        <v>0</v>
      </c>
      <c r="F58" s="44">
        <v>5000000</v>
      </c>
      <c r="G58" s="44">
        <v>5000000</v>
      </c>
      <c r="H58" s="44">
        <f t="shared" si="0"/>
        <v>100</v>
      </c>
      <c r="I58" s="44">
        <f t="shared" si="5"/>
        <v>0</v>
      </c>
      <c r="J58" s="44">
        <v>0</v>
      </c>
      <c r="K58" s="44">
        <v>0</v>
      </c>
      <c r="L58" s="70" t="s">
        <v>85</v>
      </c>
      <c r="M58" s="2"/>
      <c r="N58" s="72">
        <v>52</v>
      </c>
      <c r="O58" s="2"/>
      <c r="P58" s="2"/>
    </row>
    <row r="59" spans="1:16" s="73" customFormat="1" ht="30" customHeight="1">
      <c r="A59" s="45" t="s">
        <v>65</v>
      </c>
      <c r="B59" s="43" t="s">
        <v>23</v>
      </c>
      <c r="C59" s="68">
        <v>1</v>
      </c>
      <c r="D59" s="69">
        <v>0</v>
      </c>
      <c r="E59" s="44">
        <f t="shared" si="4"/>
        <v>0</v>
      </c>
      <c r="F59" s="44">
        <v>1500000</v>
      </c>
      <c r="G59" s="44">
        <v>1500000</v>
      </c>
      <c r="H59" s="44">
        <f t="shared" si="0"/>
        <v>100</v>
      </c>
      <c r="I59" s="44">
        <f t="shared" si="5"/>
        <v>0</v>
      </c>
      <c r="J59" s="44">
        <v>0</v>
      </c>
      <c r="K59" s="44">
        <v>0</v>
      </c>
      <c r="L59" s="70" t="s">
        <v>93</v>
      </c>
      <c r="M59" s="2"/>
      <c r="N59" s="72">
        <v>14</v>
      </c>
      <c r="O59" s="2"/>
      <c r="P59" s="2"/>
    </row>
    <row r="60" spans="1:16" s="73" customFormat="1" ht="30" customHeight="1">
      <c r="A60" s="45" t="s">
        <v>66</v>
      </c>
      <c r="B60" s="43" t="s">
        <v>23</v>
      </c>
      <c r="C60" s="68">
        <v>1</v>
      </c>
      <c r="D60" s="69">
        <v>0</v>
      </c>
      <c r="E60" s="44">
        <f t="shared" si="4"/>
        <v>0</v>
      </c>
      <c r="F60" s="44">
        <v>2000000</v>
      </c>
      <c r="G60" s="44">
        <v>2000000</v>
      </c>
      <c r="H60" s="44">
        <f t="shared" si="0"/>
        <v>100</v>
      </c>
      <c r="I60" s="44">
        <f t="shared" si="5"/>
        <v>0</v>
      </c>
      <c r="J60" s="44">
        <v>0</v>
      </c>
      <c r="K60" s="44">
        <v>0</v>
      </c>
      <c r="L60" s="70" t="s">
        <v>93</v>
      </c>
      <c r="M60" s="2"/>
      <c r="N60" s="72">
        <v>15</v>
      </c>
      <c r="O60" s="2"/>
      <c r="P60" s="2"/>
    </row>
    <row r="61" spans="1:16" s="73" customFormat="1" ht="30" customHeight="1">
      <c r="A61" s="45" t="s">
        <v>67</v>
      </c>
      <c r="B61" s="43" t="s">
        <v>23</v>
      </c>
      <c r="C61" s="68">
        <v>1</v>
      </c>
      <c r="D61" s="69">
        <v>0</v>
      </c>
      <c r="E61" s="44">
        <f t="shared" si="4"/>
        <v>0</v>
      </c>
      <c r="F61" s="44">
        <v>3510000</v>
      </c>
      <c r="G61" s="44">
        <v>3509100</v>
      </c>
      <c r="H61" s="44">
        <f t="shared" si="0"/>
        <v>99.974358974358978</v>
      </c>
      <c r="I61" s="44">
        <f t="shared" si="5"/>
        <v>900</v>
      </c>
      <c r="J61" s="44">
        <v>0</v>
      </c>
      <c r="K61" s="44">
        <v>0</v>
      </c>
      <c r="L61" s="70" t="s">
        <v>86</v>
      </c>
      <c r="M61" s="2"/>
      <c r="N61" s="72">
        <v>23</v>
      </c>
      <c r="O61" s="2"/>
      <c r="P61" s="2"/>
    </row>
    <row r="62" spans="1:16" s="73" customFormat="1" ht="30" customHeight="1">
      <c r="A62" s="45" t="s">
        <v>68</v>
      </c>
      <c r="B62" s="43" t="s">
        <v>23</v>
      </c>
      <c r="C62" s="68">
        <v>1</v>
      </c>
      <c r="D62" s="69">
        <v>0</v>
      </c>
      <c r="E62" s="44">
        <f t="shared" si="4"/>
        <v>0</v>
      </c>
      <c r="F62" s="44">
        <v>560200</v>
      </c>
      <c r="G62" s="44">
        <v>560200</v>
      </c>
      <c r="H62" s="44">
        <f t="shared" si="0"/>
        <v>100</v>
      </c>
      <c r="I62" s="44">
        <f t="shared" si="5"/>
        <v>0</v>
      </c>
      <c r="J62" s="44">
        <v>0</v>
      </c>
      <c r="K62" s="44">
        <v>0</v>
      </c>
      <c r="L62" s="70" t="s">
        <v>86</v>
      </c>
      <c r="M62" s="2"/>
      <c r="N62" s="72">
        <v>10</v>
      </c>
      <c r="O62" s="2"/>
      <c r="P62" s="2"/>
    </row>
    <row r="63" spans="1:16" s="73" customFormat="1" ht="30" customHeight="1" thickBot="1">
      <c r="A63" s="74" t="s">
        <v>69</v>
      </c>
      <c r="B63" s="75" t="s">
        <v>23</v>
      </c>
      <c r="C63" s="76">
        <v>1</v>
      </c>
      <c r="D63" s="77">
        <v>0</v>
      </c>
      <c r="E63" s="78">
        <f t="shared" si="4"/>
        <v>0</v>
      </c>
      <c r="F63" s="78">
        <v>4700000</v>
      </c>
      <c r="G63" s="78">
        <v>4700000</v>
      </c>
      <c r="H63" s="78">
        <f t="shared" si="0"/>
        <v>100</v>
      </c>
      <c r="I63" s="78">
        <f t="shared" si="5"/>
        <v>0</v>
      </c>
      <c r="J63" s="78">
        <v>0</v>
      </c>
      <c r="K63" s="78">
        <v>0</v>
      </c>
      <c r="L63" s="79" t="s">
        <v>86</v>
      </c>
      <c r="M63" s="2"/>
      <c r="N63" s="80">
        <v>40</v>
      </c>
      <c r="O63" s="2"/>
      <c r="P63" s="2"/>
    </row>
    <row r="64" spans="1:16" s="6" customFormat="1">
      <c r="M64" s="4"/>
      <c r="N64" s="4"/>
      <c r="O64" s="4"/>
      <c r="P64" s="4"/>
    </row>
    <row r="65" spans="1:16" s="6" customFormat="1">
      <c r="C65" s="20"/>
      <c r="D65" s="20"/>
      <c r="M65" s="4"/>
      <c r="N65" s="4"/>
      <c r="O65" s="4"/>
      <c r="P65" s="4"/>
    </row>
    <row r="66" spans="1:16" ht="21.75" customHeight="1">
      <c r="C66" s="20"/>
      <c r="D66" s="20"/>
    </row>
    <row r="67" spans="1:16" ht="21.75" customHeight="1">
      <c r="C67" s="20"/>
      <c r="D67" s="20"/>
    </row>
    <row r="68" spans="1:16" s="1" customFormat="1" ht="21.75" customHeight="1">
      <c r="A68" s="21"/>
      <c r="B68" s="22"/>
      <c r="C68" s="572"/>
      <c r="D68" s="572"/>
      <c r="E68" s="572"/>
      <c r="F68" s="22"/>
      <c r="G68" s="572"/>
      <c r="H68" s="572"/>
      <c r="I68" s="572"/>
      <c r="J68" s="575"/>
      <c r="K68" s="575"/>
      <c r="L68" s="575"/>
    </row>
    <row r="69" spans="1:16" ht="21.75" customHeight="1">
      <c r="B69" s="4"/>
      <c r="C69" s="573"/>
      <c r="D69" s="573"/>
      <c r="E69" s="573"/>
      <c r="F69" s="4"/>
      <c r="G69" s="574"/>
      <c r="H69" s="574"/>
      <c r="I69" s="574"/>
      <c r="J69" s="574"/>
      <c r="K69" s="574"/>
      <c r="L69" s="574"/>
    </row>
    <row r="70" spans="1:16" s="13" customFormat="1" ht="21.75" customHeight="1">
      <c r="A70" s="14"/>
      <c r="B70" s="15"/>
      <c r="C70" s="576"/>
      <c r="D70" s="576"/>
      <c r="E70" s="15"/>
      <c r="F70" s="15"/>
      <c r="G70" s="576"/>
      <c r="H70" s="576"/>
      <c r="I70" s="576"/>
      <c r="K70" s="577"/>
      <c r="L70" s="577"/>
    </row>
    <row r="71" spans="1:16" ht="21.75" customHeight="1">
      <c r="A71" s="16"/>
      <c r="C71" s="574"/>
      <c r="D71" s="574"/>
      <c r="G71" s="574"/>
      <c r="H71" s="574"/>
      <c r="I71" s="574"/>
      <c r="K71" s="574"/>
      <c r="L71" s="574"/>
    </row>
  </sheetData>
  <mergeCells count="26">
    <mergeCell ref="A9:A11"/>
    <mergeCell ref="B9:B11"/>
    <mergeCell ref="C9:E9"/>
    <mergeCell ref="F9:I9"/>
    <mergeCell ref="J9:K9"/>
    <mergeCell ref="C10:C11"/>
    <mergeCell ref="D10:E10"/>
    <mergeCell ref="F10:F11"/>
    <mergeCell ref="G10:G11"/>
    <mergeCell ref="H10:H11"/>
    <mergeCell ref="I10:I11"/>
    <mergeCell ref="J10:J11"/>
    <mergeCell ref="K10:K11"/>
    <mergeCell ref="L9:L11"/>
    <mergeCell ref="C68:E68"/>
    <mergeCell ref="C69:E69"/>
    <mergeCell ref="C71:D71"/>
    <mergeCell ref="G71:I71"/>
    <mergeCell ref="K71:L71"/>
    <mergeCell ref="J68:L68"/>
    <mergeCell ref="C70:D70"/>
    <mergeCell ref="G70:I70"/>
    <mergeCell ref="K70:L70"/>
    <mergeCell ref="J69:L69"/>
    <mergeCell ref="G68:I68"/>
    <mergeCell ref="G69:I69"/>
  </mergeCells>
  <pageMargins left="0.5" right="0.25" top="0.25" bottom="0.25" header="0" footer="0"/>
  <pageSetup paperSize="258" scale="55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view="pageBreakPreview" topLeftCell="A10" zoomScaleNormal="100" zoomScaleSheetLayoutView="100" workbookViewId="0">
      <selection activeCell="M20" sqref="M20"/>
    </sheetView>
  </sheetViews>
  <sheetFormatPr defaultColWidth="8.85546875" defaultRowHeight="15.75"/>
  <cols>
    <col min="1" max="1" width="39.28515625" style="366" customWidth="1"/>
    <col min="2" max="2" width="17.28515625" style="367" customWidth="1"/>
    <col min="3" max="3" width="24" style="366" hidden="1" customWidth="1"/>
    <col min="4" max="5" width="16.85546875" style="366" hidden="1" customWidth="1"/>
    <col min="6" max="7" width="17.140625" style="368" hidden="1" customWidth="1"/>
    <col min="8" max="8" width="17.140625" style="369" hidden="1" customWidth="1"/>
    <col min="9" max="9" width="15" style="368" customWidth="1"/>
    <col min="10" max="10" width="18.42578125" style="366" customWidth="1"/>
    <col min="11" max="11" width="11.28515625" style="369" customWidth="1"/>
    <col min="12" max="12" width="18.85546875" style="487" customWidth="1"/>
    <col min="13" max="13" width="21.28515625" style="368" customWidth="1"/>
    <col min="14" max="14" width="22.140625" style="368" customWidth="1"/>
    <col min="15" max="15" width="16.42578125" style="369" hidden="1" customWidth="1"/>
    <col min="16" max="16" width="18.140625" style="368" customWidth="1"/>
    <col min="17" max="17" width="21.28515625" style="369" customWidth="1"/>
    <col min="18" max="18" width="26.140625" style="370" customWidth="1"/>
    <col min="19" max="19" width="32.140625" style="366" customWidth="1"/>
    <col min="20" max="256" width="11.42578125" style="366" customWidth="1"/>
    <col min="257" max="16384" width="8.85546875" style="366"/>
  </cols>
  <sheetData>
    <row r="1" spans="1:31">
      <c r="A1" s="366" t="s">
        <v>0</v>
      </c>
    </row>
    <row r="2" spans="1:31">
      <c r="A2" s="371" t="s">
        <v>115</v>
      </c>
      <c r="B2" s="372"/>
      <c r="C2" s="371"/>
      <c r="D2" s="371"/>
      <c r="E2" s="371"/>
      <c r="F2" s="373"/>
      <c r="G2" s="373"/>
      <c r="H2" s="374"/>
      <c r="I2" s="373"/>
      <c r="J2" s="371"/>
      <c r="K2" s="374"/>
      <c r="L2" s="488"/>
      <c r="M2" s="373"/>
      <c r="N2" s="373"/>
      <c r="O2" s="374"/>
      <c r="P2" s="371"/>
      <c r="Q2" s="374"/>
    </row>
    <row r="3" spans="1:31">
      <c r="A3" s="371" t="s">
        <v>429</v>
      </c>
      <c r="B3" s="372"/>
      <c r="C3" s="371"/>
      <c r="D3" s="371"/>
      <c r="E3" s="371"/>
      <c r="F3" s="373"/>
      <c r="G3" s="373"/>
      <c r="H3" s="374"/>
      <c r="I3" s="373"/>
      <c r="J3" s="371"/>
      <c r="K3" s="374"/>
      <c r="L3" s="488"/>
      <c r="M3" s="373"/>
      <c r="N3" s="373"/>
      <c r="O3" s="374"/>
      <c r="P3" s="371"/>
      <c r="Q3" s="374"/>
    </row>
    <row r="4" spans="1:31">
      <c r="A4" s="371" t="s">
        <v>431</v>
      </c>
      <c r="B4" s="372"/>
      <c r="C4" s="371"/>
      <c r="D4" s="371"/>
      <c r="E4" s="371"/>
      <c r="F4" s="373"/>
      <c r="G4" s="373"/>
      <c r="H4" s="374"/>
      <c r="I4" s="373"/>
      <c r="J4" s="371"/>
      <c r="K4" s="374"/>
      <c r="L4" s="488"/>
      <c r="M4" s="373"/>
      <c r="N4" s="373"/>
      <c r="O4" s="374"/>
      <c r="P4" s="371"/>
      <c r="Q4" s="374"/>
    </row>
    <row r="5" spans="1:31">
      <c r="A5" s="162" t="s">
        <v>452</v>
      </c>
      <c r="B5" s="372"/>
      <c r="C5" s="371"/>
      <c r="D5" s="371"/>
      <c r="E5" s="371"/>
      <c r="F5" s="373"/>
      <c r="G5" s="373"/>
      <c r="H5" s="374"/>
      <c r="I5" s="373"/>
      <c r="J5" s="371"/>
      <c r="K5" s="374"/>
      <c r="L5" s="488"/>
      <c r="M5" s="373"/>
      <c r="N5" s="373"/>
      <c r="O5" s="374"/>
      <c r="P5" s="371"/>
      <c r="Q5" s="374"/>
    </row>
    <row r="6" spans="1:31">
      <c r="A6" s="375"/>
      <c r="B6" s="372"/>
      <c r="C6" s="371"/>
      <c r="D6" s="371"/>
      <c r="E6" s="371"/>
      <c r="F6" s="373"/>
      <c r="G6" s="373"/>
      <c r="H6" s="374"/>
      <c r="I6" s="373"/>
      <c r="J6" s="371"/>
      <c r="K6" s="374"/>
      <c r="L6" s="488"/>
      <c r="M6" s="373"/>
      <c r="N6" s="373"/>
      <c r="O6" s="374"/>
      <c r="P6" s="371"/>
      <c r="Q6" s="374"/>
    </row>
    <row r="7" spans="1:31">
      <c r="A7" s="371" t="s">
        <v>376</v>
      </c>
      <c r="B7" s="372"/>
      <c r="C7" s="371"/>
      <c r="D7" s="371"/>
      <c r="E7" s="371"/>
      <c r="F7" s="373"/>
      <c r="G7" s="373"/>
      <c r="H7" s="374"/>
      <c r="I7" s="373"/>
      <c r="J7" s="371"/>
      <c r="K7" s="374"/>
      <c r="L7" s="593"/>
      <c r="M7" s="593"/>
      <c r="N7" s="593"/>
      <c r="O7" s="593"/>
      <c r="P7" s="593"/>
      <c r="Q7" s="593"/>
    </row>
    <row r="8" spans="1:31">
      <c r="A8" s="586" t="s">
        <v>432</v>
      </c>
      <c r="B8" s="590" t="s">
        <v>138</v>
      </c>
      <c r="C8" s="590" t="s">
        <v>377</v>
      </c>
      <c r="D8" s="590" t="s">
        <v>378</v>
      </c>
      <c r="E8" s="590"/>
      <c r="F8" s="590" t="s">
        <v>379</v>
      </c>
      <c r="G8" s="590"/>
      <c r="H8" s="590"/>
      <c r="I8" s="590" t="s">
        <v>2</v>
      </c>
      <c r="J8" s="590"/>
      <c r="K8" s="590"/>
      <c r="L8" s="589" t="s">
        <v>112</v>
      </c>
      <c r="M8" s="589"/>
      <c r="N8" s="589"/>
      <c r="O8" s="589"/>
      <c r="P8" s="589"/>
      <c r="Q8" s="589"/>
      <c r="R8" s="590" t="s">
        <v>111</v>
      </c>
    </row>
    <row r="9" spans="1:31" ht="15" customHeight="1">
      <c r="A9" s="586"/>
      <c r="B9" s="590"/>
      <c r="C9" s="590"/>
      <c r="D9" s="590" t="s">
        <v>380</v>
      </c>
      <c r="E9" s="590" t="s">
        <v>381</v>
      </c>
      <c r="F9" s="588" t="s">
        <v>4</v>
      </c>
      <c r="G9" s="590" t="s">
        <v>382</v>
      </c>
      <c r="H9" s="590"/>
      <c r="I9" s="588" t="s">
        <v>4</v>
      </c>
      <c r="J9" s="590" t="s">
        <v>110</v>
      </c>
      <c r="K9" s="590"/>
      <c r="L9" s="591" t="s">
        <v>109</v>
      </c>
      <c r="M9" s="588" t="s">
        <v>108</v>
      </c>
      <c r="N9" s="588"/>
      <c r="O9" s="588"/>
      <c r="P9" s="588" t="s">
        <v>3</v>
      </c>
      <c r="Q9" s="588"/>
      <c r="R9" s="590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</row>
    <row r="10" spans="1:31">
      <c r="A10" s="586"/>
      <c r="B10" s="590"/>
      <c r="C10" s="590"/>
      <c r="D10" s="590"/>
      <c r="E10" s="590"/>
      <c r="F10" s="588"/>
      <c r="G10" s="589" t="s">
        <v>107</v>
      </c>
      <c r="H10" s="587" t="s">
        <v>6</v>
      </c>
      <c r="I10" s="588"/>
      <c r="J10" s="586" t="s">
        <v>107</v>
      </c>
      <c r="K10" s="587" t="s">
        <v>6</v>
      </c>
      <c r="L10" s="591"/>
      <c r="M10" s="588" t="s">
        <v>106</v>
      </c>
      <c r="N10" s="588" t="s">
        <v>105</v>
      </c>
      <c r="O10" s="587" t="s">
        <v>6</v>
      </c>
      <c r="P10" s="589" t="s">
        <v>104</v>
      </c>
      <c r="Q10" s="592" t="s">
        <v>383</v>
      </c>
      <c r="R10" s="590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</row>
    <row r="11" spans="1:31" ht="39.75" customHeight="1">
      <c r="A11" s="586"/>
      <c r="B11" s="590"/>
      <c r="C11" s="590"/>
      <c r="D11" s="590"/>
      <c r="E11" s="590"/>
      <c r="F11" s="588"/>
      <c r="G11" s="589"/>
      <c r="H11" s="587"/>
      <c r="I11" s="588"/>
      <c r="J11" s="586"/>
      <c r="K11" s="587"/>
      <c r="L11" s="591"/>
      <c r="M11" s="589"/>
      <c r="N11" s="589"/>
      <c r="O11" s="587"/>
      <c r="P11" s="589"/>
      <c r="Q11" s="587"/>
      <c r="R11" s="590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</row>
    <row r="12" spans="1:31" s="371" customFormat="1" ht="29.25" customHeight="1">
      <c r="A12" s="584" t="s">
        <v>433</v>
      </c>
      <c r="B12" s="585"/>
      <c r="C12" s="439"/>
      <c r="D12" s="439"/>
      <c r="E12" s="439"/>
      <c r="F12" s="440"/>
      <c r="G12" s="440"/>
      <c r="H12" s="441"/>
      <c r="I12" s="440"/>
      <c r="J12" s="440"/>
      <c r="K12" s="439"/>
      <c r="L12" s="494">
        <v>16000000</v>
      </c>
      <c r="M12" s="440"/>
      <c r="N12" s="494">
        <v>16000000</v>
      </c>
      <c r="O12" s="441"/>
      <c r="P12" s="442"/>
      <c r="Q12" s="441"/>
      <c r="R12" s="443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</row>
    <row r="13" spans="1:31" s="371" customFormat="1" ht="22.5" customHeight="1">
      <c r="A13" s="478" t="s">
        <v>148</v>
      </c>
      <c r="B13" s="377"/>
      <c r="C13" s="437"/>
      <c r="D13" s="437"/>
      <c r="E13" s="437"/>
      <c r="F13" s="464"/>
      <c r="G13" s="464"/>
      <c r="H13" s="465"/>
      <c r="I13" s="464"/>
      <c r="J13" s="464"/>
      <c r="K13" s="437"/>
      <c r="L13" s="489"/>
      <c r="M13" s="464"/>
      <c r="N13" s="464"/>
      <c r="O13" s="465"/>
      <c r="P13" s="466"/>
      <c r="Q13" s="465"/>
      <c r="R13" s="438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</row>
    <row r="14" spans="1:31" s="371" customFormat="1" ht="22.5" customHeight="1">
      <c r="A14" s="471" t="s">
        <v>103</v>
      </c>
      <c r="B14" s="471"/>
      <c r="C14" s="472"/>
      <c r="D14" s="472"/>
      <c r="E14" s="472"/>
      <c r="F14" s="473"/>
      <c r="G14" s="473"/>
      <c r="H14" s="474"/>
      <c r="I14" s="473"/>
      <c r="J14" s="473"/>
      <c r="K14" s="472"/>
      <c r="L14" s="486"/>
      <c r="M14" s="473"/>
      <c r="N14" s="473"/>
      <c r="O14" s="474"/>
      <c r="P14" s="475"/>
      <c r="Q14" s="474"/>
      <c r="R14" s="476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</row>
    <row r="15" spans="1:31" s="371" customFormat="1" ht="33.75" customHeight="1">
      <c r="A15" s="477" t="s">
        <v>434</v>
      </c>
      <c r="B15" s="479" t="s">
        <v>435</v>
      </c>
      <c r="C15" s="472"/>
      <c r="D15" s="472"/>
      <c r="E15" s="472"/>
      <c r="F15" s="473"/>
      <c r="G15" s="473"/>
      <c r="H15" s="474"/>
      <c r="I15" s="480">
        <v>9000</v>
      </c>
      <c r="J15" s="480">
        <f>J14</f>
        <v>0</v>
      </c>
      <c r="K15" s="496">
        <f>J15</f>
        <v>0</v>
      </c>
      <c r="L15" s="490">
        <v>5000000</v>
      </c>
      <c r="M15" s="480">
        <f>M14</f>
        <v>0</v>
      </c>
      <c r="N15" s="496">
        <f>M15</f>
        <v>0</v>
      </c>
      <c r="O15" s="482"/>
      <c r="P15" s="483">
        <f>N15</f>
        <v>0</v>
      </c>
      <c r="Q15" s="495">
        <f>P15</f>
        <v>0</v>
      </c>
      <c r="R15" s="484" t="s">
        <v>470</v>
      </c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</row>
    <row r="16" spans="1:31" s="371" customFormat="1" ht="38.25" customHeight="1">
      <c r="A16" s="377" t="s">
        <v>436</v>
      </c>
      <c r="B16" s="485"/>
      <c r="C16" s="437"/>
      <c r="D16" s="437"/>
      <c r="E16" s="437"/>
      <c r="F16" s="464"/>
      <c r="G16" s="464"/>
      <c r="H16" s="465"/>
      <c r="I16" s="464"/>
      <c r="J16" s="464"/>
      <c r="K16" s="437"/>
      <c r="L16" s="489"/>
      <c r="M16" s="464"/>
      <c r="N16" s="464"/>
      <c r="O16" s="465"/>
      <c r="P16" s="466"/>
      <c r="Q16" s="465"/>
      <c r="R16" s="438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</row>
    <row r="17" spans="1:31" s="371" customFormat="1" ht="22.5" customHeight="1">
      <c r="A17" s="471" t="s">
        <v>103</v>
      </c>
      <c r="B17" s="471"/>
      <c r="C17" s="472"/>
      <c r="D17" s="472"/>
      <c r="E17" s="472"/>
      <c r="F17" s="473"/>
      <c r="G17" s="473"/>
      <c r="H17" s="474"/>
      <c r="I17" s="473"/>
      <c r="J17" s="473"/>
      <c r="K17" s="472"/>
      <c r="L17" s="486"/>
      <c r="M17" s="473"/>
      <c r="N17" s="473"/>
      <c r="O17" s="474"/>
      <c r="P17" s="475"/>
      <c r="Q17" s="474"/>
      <c r="R17" s="476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</row>
    <row r="18" spans="1:31" s="371" customFormat="1" ht="22.5" customHeight="1">
      <c r="A18" s="477" t="s">
        <v>437</v>
      </c>
      <c r="B18" s="479" t="s">
        <v>438</v>
      </c>
      <c r="C18" s="481"/>
      <c r="D18" s="481"/>
      <c r="E18" s="481"/>
      <c r="F18" s="480"/>
      <c r="G18" s="480"/>
      <c r="H18" s="482"/>
      <c r="I18" s="480">
        <v>500</v>
      </c>
      <c r="J18" s="480">
        <f>J17</f>
        <v>0</v>
      </c>
      <c r="K18" s="496">
        <f>J18</f>
        <v>0</v>
      </c>
      <c r="L18" s="490">
        <v>6000000</v>
      </c>
      <c r="M18" s="480">
        <f>M17</f>
        <v>0</v>
      </c>
      <c r="N18" s="496">
        <f>M18</f>
        <v>0</v>
      </c>
      <c r="O18" s="482"/>
      <c r="P18" s="483">
        <f>N18</f>
        <v>0</v>
      </c>
      <c r="Q18" s="495">
        <f>P18</f>
        <v>0</v>
      </c>
      <c r="R18" s="484" t="s">
        <v>468</v>
      </c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</row>
    <row r="19" spans="1:31" s="371" customFormat="1" ht="22.5" customHeight="1">
      <c r="A19" s="377" t="s">
        <v>439</v>
      </c>
      <c r="B19" s="377"/>
      <c r="C19" s="437"/>
      <c r="D19" s="437"/>
      <c r="E19" s="437"/>
      <c r="F19" s="464"/>
      <c r="G19" s="464"/>
      <c r="H19" s="465"/>
      <c r="I19" s="464"/>
      <c r="J19" s="464"/>
      <c r="K19" s="437"/>
      <c r="L19" s="489"/>
      <c r="M19" s="464"/>
      <c r="N19" s="464"/>
      <c r="O19" s="465"/>
      <c r="P19" s="466"/>
      <c r="Q19" s="465"/>
      <c r="R19" s="438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</row>
    <row r="20" spans="1:31" s="371" customFormat="1" ht="22.5" customHeight="1">
      <c r="A20" s="471" t="s">
        <v>440</v>
      </c>
      <c r="B20" s="471"/>
      <c r="C20" s="472"/>
      <c r="D20" s="472"/>
      <c r="E20" s="472"/>
      <c r="F20" s="473"/>
      <c r="G20" s="473"/>
      <c r="H20" s="474"/>
      <c r="I20" s="473"/>
      <c r="J20" s="473"/>
      <c r="K20" s="472"/>
      <c r="L20" s="486"/>
      <c r="M20" s="473"/>
      <c r="N20" s="473"/>
      <c r="O20" s="474"/>
      <c r="P20" s="475"/>
      <c r="Q20" s="474"/>
      <c r="R20" s="476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</row>
    <row r="21" spans="1:31" ht="22.5" customHeight="1">
      <c r="A21" s="477" t="s">
        <v>150</v>
      </c>
      <c r="B21" s="479" t="s">
        <v>442</v>
      </c>
      <c r="C21" s="481"/>
      <c r="D21" s="481"/>
      <c r="E21" s="481"/>
      <c r="F21" s="480"/>
      <c r="G21" s="480"/>
      <c r="H21" s="482"/>
      <c r="I21" s="480">
        <v>30</v>
      </c>
      <c r="J21" s="480">
        <f>J20</f>
        <v>0</v>
      </c>
      <c r="K21" s="496">
        <f>J21</f>
        <v>0</v>
      </c>
      <c r="L21" s="490">
        <v>1460000</v>
      </c>
      <c r="N21" s="496">
        <f>M22</f>
        <v>0</v>
      </c>
      <c r="O21" s="482"/>
      <c r="P21" s="483">
        <f>N21</f>
        <v>0</v>
      </c>
      <c r="Q21" s="495">
        <f>P21</f>
        <v>0</v>
      </c>
      <c r="R21" s="581" t="s">
        <v>471</v>
      </c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</row>
    <row r="22" spans="1:31" ht="22.5" customHeight="1">
      <c r="A22" s="477" t="s">
        <v>151</v>
      </c>
      <c r="B22" s="479" t="s">
        <v>442</v>
      </c>
      <c r="C22" s="481"/>
      <c r="D22" s="481"/>
      <c r="E22" s="481"/>
      <c r="F22" s="480"/>
      <c r="G22" s="480"/>
      <c r="H22" s="482"/>
      <c r="I22" s="480">
        <v>4000</v>
      </c>
      <c r="J22" s="480">
        <f>J21</f>
        <v>0</v>
      </c>
      <c r="K22" s="496">
        <f>J22</f>
        <v>0</v>
      </c>
      <c r="L22" s="490">
        <v>2708000</v>
      </c>
      <c r="M22" s="480">
        <f>M20</f>
        <v>0</v>
      </c>
      <c r="N22" s="496" t="s">
        <v>414</v>
      </c>
      <c r="O22" s="482"/>
      <c r="P22" s="483" t="str">
        <f>N22</f>
        <v xml:space="preserve">     </v>
      </c>
      <c r="Q22" s="495" t="str">
        <f>P22</f>
        <v xml:space="preserve">     </v>
      </c>
      <c r="R22" s="582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</row>
    <row r="23" spans="1:31" ht="22.5" customHeight="1">
      <c r="A23" s="477" t="s">
        <v>441</v>
      </c>
      <c r="B23" s="479" t="s">
        <v>442</v>
      </c>
      <c r="C23" s="481"/>
      <c r="D23" s="481"/>
      <c r="E23" s="481"/>
      <c r="F23" s="480"/>
      <c r="G23" s="480"/>
      <c r="H23" s="482"/>
      <c r="I23" s="480">
        <v>1200</v>
      </c>
      <c r="J23" s="480">
        <f>J22</f>
        <v>0</v>
      </c>
      <c r="K23" s="496">
        <f>J23</f>
        <v>0</v>
      </c>
      <c r="L23" s="490">
        <v>832000</v>
      </c>
      <c r="M23" s="480">
        <f>M21</f>
        <v>0</v>
      </c>
      <c r="N23" s="496">
        <f>M23</f>
        <v>0</v>
      </c>
      <c r="O23" s="482"/>
      <c r="P23" s="483">
        <f>N23</f>
        <v>0</v>
      </c>
      <c r="Q23" s="495">
        <f>P23</f>
        <v>0</v>
      </c>
      <c r="R23" s="583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</row>
    <row r="24" spans="1:31" s="386" customFormat="1" ht="29.25" customHeight="1">
      <c r="A24" s="425" t="s">
        <v>384</v>
      </c>
      <c r="B24" s="425"/>
      <c r="C24" s="426"/>
      <c r="D24" s="426"/>
      <c r="E24" s="427"/>
      <c r="F24" s="467" t="e">
        <f>#REF!+#REF!+#REF!</f>
        <v>#REF!</v>
      </c>
      <c r="G24" s="467" t="e">
        <f>#REF!+#REF!+#REF!</f>
        <v>#REF!</v>
      </c>
      <c r="H24" s="467"/>
      <c r="I24" s="468"/>
      <c r="J24" s="468"/>
      <c r="K24" s="469"/>
      <c r="L24" s="467">
        <f>L15+L18+L21+L22+L23</f>
        <v>16000000</v>
      </c>
      <c r="M24" s="468"/>
      <c r="N24" s="468"/>
      <c r="O24" s="468" t="e">
        <f>#REF!</f>
        <v>#REF!</v>
      </c>
      <c r="P24" s="468"/>
      <c r="Q24" s="470"/>
      <c r="R24" s="427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</row>
    <row r="25" spans="1:31"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</row>
    <row r="26" spans="1:31" s="375" customFormat="1">
      <c r="A26" s="375" t="s">
        <v>354</v>
      </c>
      <c r="C26" s="375" t="s">
        <v>355</v>
      </c>
      <c r="E26" s="375" t="s">
        <v>385</v>
      </c>
      <c r="H26" s="387"/>
      <c r="I26" s="375" t="s">
        <v>355</v>
      </c>
      <c r="L26" s="491" t="s">
        <v>356</v>
      </c>
      <c r="O26" s="387"/>
      <c r="Q26" s="375" t="s">
        <v>357</v>
      </c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</row>
    <row r="27" spans="1:31" s="375" customFormat="1">
      <c r="H27" s="387"/>
      <c r="L27" s="491"/>
      <c r="O27" s="387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</row>
    <row r="28" spans="1:31" s="375" customFormat="1">
      <c r="E28" s="388"/>
      <c r="H28" s="389"/>
      <c r="L28" s="491"/>
      <c r="O28" s="389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</row>
    <row r="29" spans="1:31" s="375" customFormat="1">
      <c r="L29" s="491"/>
    </row>
    <row r="30" spans="1:31" s="387" customFormat="1">
      <c r="A30" s="387" t="s">
        <v>415</v>
      </c>
      <c r="C30" s="387" t="s">
        <v>386</v>
      </c>
      <c r="E30" s="387" t="s">
        <v>360</v>
      </c>
      <c r="H30" s="387" t="s">
        <v>361</v>
      </c>
      <c r="I30" s="387" t="s">
        <v>359</v>
      </c>
      <c r="L30" s="492" t="s">
        <v>425</v>
      </c>
      <c r="N30" s="387" t="s">
        <v>388</v>
      </c>
      <c r="O30" s="387" t="s">
        <v>361</v>
      </c>
      <c r="Q30" s="387" t="s">
        <v>372</v>
      </c>
    </row>
    <row r="31" spans="1:31" s="389" customFormat="1">
      <c r="A31" s="389" t="s">
        <v>362</v>
      </c>
      <c r="C31" s="389" t="s">
        <v>363</v>
      </c>
      <c r="E31" s="389" t="s">
        <v>364</v>
      </c>
      <c r="H31" s="389" t="s">
        <v>365</v>
      </c>
      <c r="I31" s="389" t="s">
        <v>363</v>
      </c>
      <c r="L31" s="493" t="s">
        <v>391</v>
      </c>
      <c r="N31" s="389" t="s">
        <v>392</v>
      </c>
      <c r="O31" s="389" t="s">
        <v>365</v>
      </c>
      <c r="Q31" s="389" t="s">
        <v>373</v>
      </c>
    </row>
    <row r="32" spans="1:31">
      <c r="I32" s="375"/>
      <c r="J32" s="375"/>
      <c r="K32" s="375"/>
      <c r="L32" s="491"/>
      <c r="M32" s="375"/>
      <c r="N32" s="375"/>
      <c r="O32" s="375"/>
      <c r="P32" s="375"/>
    </row>
  </sheetData>
  <sheetProtection algorithmName="SHA-512" hashValue="fR8vkjRjXYMsBi6y211cLh0wWUapskwuKVIotpyAqH1GJDkEJApuKTBZmeXg6u21bP44j5VjpmOwGeXWrpNfdg==" saltValue="1EbX2WXkZ5282z42glAchA==" spinCount="100000" sheet="1" objects="1" scenarios="1"/>
  <mergeCells count="29">
    <mergeCell ref="Q10:Q11"/>
    <mergeCell ref="O10:O11"/>
    <mergeCell ref="P10:P11"/>
    <mergeCell ref="L7:Q7"/>
    <mergeCell ref="A8:A11"/>
    <mergeCell ref="B8:B11"/>
    <mergeCell ref="C8:C11"/>
    <mergeCell ref="D8:E8"/>
    <mergeCell ref="F8:H8"/>
    <mergeCell ref="I8:K8"/>
    <mergeCell ref="L8:Q8"/>
    <mergeCell ref="G10:G11"/>
    <mergeCell ref="H10:H11"/>
    <mergeCell ref="R21:R23"/>
    <mergeCell ref="A12:B12"/>
    <mergeCell ref="J10:J11"/>
    <mergeCell ref="K10:K11"/>
    <mergeCell ref="M10:M11"/>
    <mergeCell ref="N10:N11"/>
    <mergeCell ref="R8:R11"/>
    <mergeCell ref="D9:D11"/>
    <mergeCell ref="E9:E11"/>
    <mergeCell ref="F9:F11"/>
    <mergeCell ref="G9:H9"/>
    <mergeCell ref="I9:I11"/>
    <mergeCell ref="J9:K9"/>
    <mergeCell ref="L9:L11"/>
    <mergeCell ref="M9:O9"/>
    <mergeCell ref="P9:Q9"/>
  </mergeCells>
  <pageMargins left="0.19685039370078741" right="0.19685039370078741" top="0.19685039370078741" bottom="0.19685039370078741" header="0.19685039370078741" footer="0.19685039370078741"/>
  <pageSetup paperSize="14" scale="71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workbookViewId="0">
      <selection activeCell="M22" sqref="M22"/>
    </sheetView>
  </sheetViews>
  <sheetFormatPr defaultColWidth="8.85546875" defaultRowHeight="15.75"/>
  <cols>
    <col min="1" max="1" width="37.42578125" style="366" customWidth="1"/>
    <col min="2" max="2" width="14" style="367" customWidth="1"/>
    <col min="3" max="3" width="24" style="366" hidden="1" customWidth="1"/>
    <col min="4" max="5" width="16.85546875" style="366" hidden="1" customWidth="1"/>
    <col min="6" max="7" width="17.140625" style="368" hidden="1" customWidth="1"/>
    <col min="8" max="8" width="17.140625" style="369" hidden="1" customWidth="1"/>
    <col min="9" max="9" width="14.140625" style="368" customWidth="1"/>
    <col min="10" max="10" width="13.42578125" style="366" customWidth="1"/>
    <col min="11" max="11" width="11.28515625" style="369" customWidth="1"/>
    <col min="12" max="12" width="15.42578125" style="368" customWidth="1"/>
    <col min="13" max="13" width="15.140625" style="368" customWidth="1"/>
    <col min="14" max="14" width="16.42578125" style="368" customWidth="1"/>
    <col min="15" max="15" width="16.42578125" style="369" hidden="1" customWidth="1"/>
    <col min="16" max="16" width="23.42578125" style="368" customWidth="1"/>
    <col min="17" max="17" width="20" style="369" customWidth="1"/>
    <col min="18" max="18" width="20.85546875" style="370" customWidth="1"/>
    <col min="19" max="19" width="32.140625" style="366" customWidth="1"/>
    <col min="20" max="256" width="11.42578125" style="366" customWidth="1"/>
    <col min="257" max="16384" width="8.85546875" style="366"/>
  </cols>
  <sheetData>
    <row r="1" spans="1:31">
      <c r="A1" s="366" t="s">
        <v>0</v>
      </c>
    </row>
    <row r="2" spans="1:31">
      <c r="A2" s="371" t="s">
        <v>115</v>
      </c>
      <c r="B2" s="372"/>
      <c r="C2" s="371"/>
      <c r="D2" s="371"/>
      <c r="E2" s="371"/>
      <c r="F2" s="373"/>
      <c r="G2" s="373"/>
      <c r="H2" s="374"/>
      <c r="I2" s="373"/>
      <c r="J2" s="371"/>
      <c r="K2" s="374"/>
      <c r="L2" s="373"/>
      <c r="M2" s="373"/>
      <c r="N2" s="373"/>
      <c r="O2" s="374"/>
      <c r="P2" s="371"/>
      <c r="Q2" s="374"/>
    </row>
    <row r="3" spans="1:31">
      <c r="A3" s="371" t="s">
        <v>397</v>
      </c>
      <c r="B3" s="372"/>
      <c r="C3" s="371"/>
      <c r="D3" s="371"/>
      <c r="E3" s="371"/>
      <c r="F3" s="373"/>
      <c r="G3" s="373"/>
      <c r="H3" s="374"/>
      <c r="I3" s="373"/>
      <c r="J3" s="371"/>
      <c r="K3" s="374"/>
      <c r="L3" s="373"/>
      <c r="M3" s="373"/>
      <c r="N3" s="373"/>
      <c r="O3" s="374"/>
      <c r="P3" s="371"/>
      <c r="Q3" s="374"/>
    </row>
    <row r="4" spans="1:31">
      <c r="A4" s="162" t="s">
        <v>407</v>
      </c>
      <c r="B4" s="372"/>
      <c r="C4" s="371"/>
      <c r="D4" s="371"/>
      <c r="E4" s="371"/>
      <c r="F4" s="373"/>
      <c r="G4" s="373"/>
      <c r="H4" s="374"/>
      <c r="I4" s="373"/>
      <c r="J4" s="371"/>
      <c r="K4" s="374"/>
      <c r="L4" s="373"/>
      <c r="M4" s="373"/>
      <c r="N4" s="373"/>
      <c r="O4" s="374"/>
      <c r="P4" s="371"/>
      <c r="Q4" s="374"/>
    </row>
    <row r="5" spans="1:31">
      <c r="A5" s="375"/>
      <c r="B5" s="372"/>
      <c r="C5" s="371"/>
      <c r="D5" s="371"/>
      <c r="E5" s="371"/>
      <c r="F5" s="373"/>
      <c r="G5" s="373"/>
      <c r="H5" s="374"/>
      <c r="I5" s="373"/>
      <c r="J5" s="371"/>
      <c r="K5" s="374"/>
      <c r="L5" s="373"/>
      <c r="M5" s="373"/>
      <c r="N5" s="373"/>
      <c r="O5" s="374"/>
      <c r="P5" s="371"/>
      <c r="Q5" s="374"/>
    </row>
    <row r="6" spans="1:31">
      <c r="A6" s="371" t="s">
        <v>376</v>
      </c>
      <c r="B6" s="372"/>
      <c r="C6" s="371"/>
      <c r="D6" s="371"/>
      <c r="E6" s="371"/>
      <c r="F6" s="373"/>
      <c r="G6" s="373"/>
      <c r="H6" s="374"/>
      <c r="I6" s="373"/>
      <c r="J6" s="371"/>
      <c r="K6" s="374"/>
      <c r="L6" s="593"/>
      <c r="M6" s="593"/>
      <c r="N6" s="593"/>
      <c r="O6" s="593"/>
      <c r="P6" s="593"/>
      <c r="Q6" s="593"/>
    </row>
    <row r="7" spans="1:31">
      <c r="A7" s="594" t="s">
        <v>114</v>
      </c>
      <c r="B7" s="595" t="s">
        <v>113</v>
      </c>
      <c r="C7" s="595" t="s">
        <v>377</v>
      </c>
      <c r="D7" s="595" t="s">
        <v>378</v>
      </c>
      <c r="E7" s="595"/>
      <c r="F7" s="595" t="s">
        <v>379</v>
      </c>
      <c r="G7" s="595"/>
      <c r="H7" s="595"/>
      <c r="I7" s="595" t="s">
        <v>2</v>
      </c>
      <c r="J7" s="595"/>
      <c r="K7" s="595"/>
      <c r="L7" s="596" t="s">
        <v>112</v>
      </c>
      <c r="M7" s="596"/>
      <c r="N7" s="596"/>
      <c r="O7" s="596"/>
      <c r="P7" s="596"/>
      <c r="Q7" s="596"/>
      <c r="R7" s="595" t="s">
        <v>111</v>
      </c>
    </row>
    <row r="8" spans="1:31">
      <c r="A8" s="594"/>
      <c r="B8" s="595"/>
      <c r="C8" s="595"/>
      <c r="D8" s="595" t="s">
        <v>380</v>
      </c>
      <c r="E8" s="595" t="s">
        <v>381</v>
      </c>
      <c r="F8" s="598" t="s">
        <v>4</v>
      </c>
      <c r="G8" s="595" t="s">
        <v>382</v>
      </c>
      <c r="H8" s="595"/>
      <c r="I8" s="598" t="s">
        <v>4</v>
      </c>
      <c r="J8" s="595" t="s">
        <v>110</v>
      </c>
      <c r="K8" s="595"/>
      <c r="L8" s="598" t="s">
        <v>109</v>
      </c>
      <c r="M8" s="598" t="s">
        <v>108</v>
      </c>
      <c r="N8" s="598"/>
      <c r="O8" s="598"/>
      <c r="P8" s="598" t="s">
        <v>3</v>
      </c>
      <c r="Q8" s="598"/>
      <c r="R8" s="595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</row>
    <row r="9" spans="1:31">
      <c r="A9" s="594"/>
      <c r="B9" s="595"/>
      <c r="C9" s="595"/>
      <c r="D9" s="595"/>
      <c r="E9" s="595"/>
      <c r="F9" s="598"/>
      <c r="G9" s="596" t="s">
        <v>107</v>
      </c>
      <c r="H9" s="597" t="s">
        <v>6</v>
      </c>
      <c r="I9" s="598"/>
      <c r="J9" s="594" t="s">
        <v>107</v>
      </c>
      <c r="K9" s="597" t="s">
        <v>6</v>
      </c>
      <c r="L9" s="598"/>
      <c r="M9" s="598" t="s">
        <v>106</v>
      </c>
      <c r="N9" s="598" t="s">
        <v>105</v>
      </c>
      <c r="O9" s="597" t="s">
        <v>6</v>
      </c>
      <c r="P9" s="596" t="s">
        <v>104</v>
      </c>
      <c r="Q9" s="599" t="s">
        <v>383</v>
      </c>
      <c r="R9" s="595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</row>
    <row r="10" spans="1:31">
      <c r="A10" s="594"/>
      <c r="B10" s="595"/>
      <c r="C10" s="595"/>
      <c r="D10" s="595"/>
      <c r="E10" s="595"/>
      <c r="F10" s="598"/>
      <c r="G10" s="596"/>
      <c r="H10" s="597"/>
      <c r="I10" s="598"/>
      <c r="J10" s="594"/>
      <c r="K10" s="597"/>
      <c r="L10" s="598"/>
      <c r="M10" s="596"/>
      <c r="N10" s="596"/>
      <c r="O10" s="597"/>
      <c r="P10" s="596"/>
      <c r="Q10" s="597"/>
      <c r="R10" s="595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</row>
    <row r="11" spans="1:31">
      <c r="A11" s="394" t="s">
        <v>398</v>
      </c>
      <c r="B11" s="395"/>
      <c r="C11" s="396"/>
      <c r="D11" s="396"/>
      <c r="E11" s="396"/>
      <c r="F11" s="397" t="e">
        <f>F12</f>
        <v>#REF!</v>
      </c>
      <c r="G11" s="397" t="e">
        <f>G12</f>
        <v>#REF!</v>
      </c>
      <c r="H11" s="398" t="e">
        <f>G11/F11</f>
        <v>#REF!</v>
      </c>
      <c r="I11" s="397">
        <f>I12</f>
        <v>2911</v>
      </c>
      <c r="J11" s="397">
        <f>J12</f>
        <v>2911</v>
      </c>
      <c r="K11" s="398">
        <f>J11/I11</f>
        <v>1</v>
      </c>
      <c r="L11" s="397">
        <f>L12</f>
        <v>14555000</v>
      </c>
      <c r="M11" s="397">
        <f>M12</f>
        <v>14555000</v>
      </c>
      <c r="N11" s="397">
        <f>L11-M11</f>
        <v>0</v>
      </c>
      <c r="O11" s="398">
        <f>M11/L11</f>
        <v>1</v>
      </c>
      <c r="P11" s="399">
        <f>P12</f>
        <v>14555000</v>
      </c>
      <c r="Q11" s="400">
        <f>Q12</f>
        <v>1</v>
      </c>
      <c r="R11" s="401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</row>
    <row r="12" spans="1:31" ht="47.25">
      <c r="A12" s="378" t="s">
        <v>399</v>
      </c>
      <c r="B12" s="379" t="s">
        <v>400</v>
      </c>
      <c r="C12" s="380"/>
      <c r="D12" s="380"/>
      <c r="E12" s="380"/>
      <c r="F12" s="216" t="e">
        <f>#REF!+#REF!+#REF!</f>
        <v>#REF!</v>
      </c>
      <c r="G12" s="216" t="e">
        <f>#REF!+#REF!+#REF!</f>
        <v>#REF!</v>
      </c>
      <c r="H12" s="381" t="e">
        <f>G12/F12</f>
        <v>#REF!</v>
      </c>
      <c r="I12" s="216">
        <v>2911</v>
      </c>
      <c r="J12" s="216">
        <v>2911</v>
      </c>
      <c r="K12" s="381">
        <f>J12/I12</f>
        <v>1</v>
      </c>
      <c r="L12" s="216">
        <v>14555000</v>
      </c>
      <c r="M12" s="216">
        <v>14555000</v>
      </c>
      <c r="N12" s="382">
        <f>M12-L12</f>
        <v>0</v>
      </c>
      <c r="O12" s="216" t="e">
        <f>#REF!</f>
        <v>#REF!</v>
      </c>
      <c r="P12" s="383">
        <v>14555000</v>
      </c>
      <c r="Q12" s="384">
        <f>SUM(P12/M12)</f>
        <v>1</v>
      </c>
      <c r="R12" s="393" t="s">
        <v>396</v>
      </c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</row>
    <row r="13" spans="1:31" s="386" customFormat="1" ht="16.5" thickBot="1">
      <c r="A13" s="402" t="s">
        <v>384</v>
      </c>
      <c r="B13" s="403"/>
      <c r="C13" s="404"/>
      <c r="D13" s="404"/>
      <c r="E13" s="405"/>
      <c r="F13" s="406" t="e">
        <f>#REF!+#REF!+#REF!</f>
        <v>#REF!</v>
      </c>
      <c r="G13" s="406" t="e">
        <f>#REF!+#REF!+#REF!</f>
        <v>#REF!</v>
      </c>
      <c r="H13" s="406"/>
      <c r="I13" s="407">
        <f>I12</f>
        <v>2911</v>
      </c>
      <c r="J13" s="407">
        <f t="shared" ref="J13:P13" si="0">J12</f>
        <v>2911</v>
      </c>
      <c r="K13" s="408">
        <f>J13/I13</f>
        <v>1</v>
      </c>
      <c r="L13" s="407">
        <f t="shared" si="0"/>
        <v>14555000</v>
      </c>
      <c r="M13" s="407">
        <f t="shared" si="0"/>
        <v>14555000</v>
      </c>
      <c r="N13" s="407">
        <f t="shared" si="0"/>
        <v>0</v>
      </c>
      <c r="O13" s="407" t="e">
        <f t="shared" si="0"/>
        <v>#REF!</v>
      </c>
      <c r="P13" s="407">
        <f t="shared" si="0"/>
        <v>14555000</v>
      </c>
      <c r="Q13" s="409">
        <f>SUM(P13/M13)</f>
        <v>1</v>
      </c>
      <c r="R13" s="410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</row>
    <row r="14" spans="1:31"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</row>
    <row r="15" spans="1:31" s="375" customFormat="1">
      <c r="A15" s="375" t="s">
        <v>354</v>
      </c>
      <c r="C15" s="375" t="s">
        <v>355</v>
      </c>
      <c r="E15" s="375" t="s">
        <v>385</v>
      </c>
      <c r="H15" s="387"/>
      <c r="I15" s="375" t="s">
        <v>355</v>
      </c>
      <c r="L15" s="375" t="s">
        <v>356</v>
      </c>
      <c r="O15" s="387"/>
      <c r="Q15" s="375" t="s">
        <v>357</v>
      </c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</row>
    <row r="16" spans="1:31" s="375" customFormat="1">
      <c r="E16" s="388"/>
      <c r="H16" s="389"/>
      <c r="O16" s="389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</row>
    <row r="17" spans="1:17" s="375" customFormat="1"/>
    <row r="18" spans="1:17" s="387" customFormat="1">
      <c r="A18" s="387" t="s">
        <v>358</v>
      </c>
      <c r="C18" s="387" t="s">
        <v>386</v>
      </c>
      <c r="E18" s="387" t="s">
        <v>360</v>
      </c>
      <c r="H18" s="387" t="s">
        <v>361</v>
      </c>
      <c r="I18" s="387" t="s">
        <v>359</v>
      </c>
      <c r="L18" s="387" t="s">
        <v>387</v>
      </c>
      <c r="N18" s="387" t="s">
        <v>388</v>
      </c>
      <c r="O18" s="387" t="s">
        <v>361</v>
      </c>
      <c r="Q18" s="387" t="s">
        <v>372</v>
      </c>
    </row>
    <row r="19" spans="1:17" s="389" customFormat="1">
      <c r="A19" s="389" t="s">
        <v>362</v>
      </c>
      <c r="C19" s="389" t="s">
        <v>363</v>
      </c>
      <c r="E19" s="389" t="s">
        <v>364</v>
      </c>
      <c r="H19" s="389" t="s">
        <v>365</v>
      </c>
      <c r="I19" s="389" t="s">
        <v>363</v>
      </c>
      <c r="L19" s="389" t="s">
        <v>391</v>
      </c>
      <c r="N19" s="389" t="s">
        <v>392</v>
      </c>
      <c r="O19" s="389" t="s">
        <v>365</v>
      </c>
      <c r="Q19" s="389" t="s">
        <v>373</v>
      </c>
    </row>
    <row r="20" spans="1:17">
      <c r="I20" s="375"/>
      <c r="J20" s="375"/>
      <c r="K20" s="375"/>
      <c r="L20" s="375"/>
      <c r="M20" s="375"/>
      <c r="N20" s="375"/>
      <c r="O20" s="375"/>
      <c r="P20" s="375"/>
    </row>
  </sheetData>
  <mergeCells count="27">
    <mergeCell ref="R7:R10"/>
    <mergeCell ref="D8:D10"/>
    <mergeCell ref="E8:E10"/>
    <mergeCell ref="F8:F10"/>
    <mergeCell ref="G8:H8"/>
    <mergeCell ref="I8:I10"/>
    <mergeCell ref="J8:K8"/>
    <mergeCell ref="L8:L10"/>
    <mergeCell ref="M8:O8"/>
    <mergeCell ref="P8:Q8"/>
    <mergeCell ref="Q9:Q10"/>
    <mergeCell ref="J9:J10"/>
    <mergeCell ref="K9:K10"/>
    <mergeCell ref="M9:M10"/>
    <mergeCell ref="N9:N10"/>
    <mergeCell ref="O9:O10"/>
    <mergeCell ref="L6:Q6"/>
    <mergeCell ref="A7:A10"/>
    <mergeCell ref="B7:B10"/>
    <mergeCell ref="C7:C10"/>
    <mergeCell ref="D7:E7"/>
    <mergeCell ref="F7:H7"/>
    <mergeCell ref="I7:K7"/>
    <mergeCell ref="L7:Q7"/>
    <mergeCell ref="G9:G10"/>
    <mergeCell ref="H9:H10"/>
    <mergeCell ref="P9:P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200M-OMPONG-SARO-E-20-0000156</vt:lpstr>
      <vt:lpstr>ompong-SARO-BMB-E-19-0012554</vt:lpstr>
      <vt:lpstr>ASF-SARO BMB-E-19-0012266</vt:lpstr>
      <vt:lpstr>SARO# BMB-E-16-0019036Lando</vt:lpstr>
      <vt:lpstr>16M_SARO-BMB-E-21-0001862</vt:lpstr>
      <vt:lpstr>ASF-14M_Indemnification</vt:lpstr>
      <vt:lpstr>'200M-OMPONG-SARO-E-20-0000156'!Print_Area</vt:lpstr>
      <vt:lpstr>'ompong-SARO-BMB-E-19-0012554'!Print_Area</vt:lpstr>
      <vt:lpstr>'SARO# BMB-E-16-0019036Lando'!Print_Area</vt:lpstr>
      <vt:lpstr>'200M-OMPONG-SARO-E-20-0000156'!Print_Titles</vt:lpstr>
      <vt:lpstr>'SARO# BMB-E-16-0019036Lando'!Print_Titles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</dc:creator>
  <cp:lastModifiedBy>Andrea Franco</cp:lastModifiedBy>
  <cp:lastPrinted>2021-08-03T01:26:22Z</cp:lastPrinted>
  <dcterms:created xsi:type="dcterms:W3CDTF">2016-07-05T02:17:35Z</dcterms:created>
  <dcterms:modified xsi:type="dcterms:W3CDTF">2021-08-03T03:06:38Z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